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australiansuper.sharepoint.com/teams/MEX-SDComms/Employer Projects/Select Transfers/Deloitte/Microsite/"/>
    </mc:Choice>
  </mc:AlternateContent>
  <xr:revisionPtr revIDLastSave="0" documentId="8_{C8F921E2-09C3-456E-BEB9-A3882086D8A0}" xr6:coauthVersionLast="47" xr6:coauthVersionMax="47" xr10:uidLastSave="{00000000-0000-0000-0000-000000000000}"/>
  <workbookProtection workbookAlgorithmName="SHA-512" workbookHashValue="0oUELZTa5Ycdxa765Ik7wv/e2/MNe5vVY1WFimNr6y1efdx6zXASky9tOrJvVBDhkZnOfdnuEq23RFlBh44PJQ==" workbookSaltValue="c/vkok7/7qtMbchCkH9tOA==" workbookSpinCount="100000" lockStructure="1"/>
  <bookViews>
    <workbookView xWindow="-110" yWindow="-110" windowWidth="19420" windowHeight="10420" tabRatio="715" xr2:uid="{2BACA7B8-42CD-44CF-96B3-5D8F748EC646}"/>
  </bookViews>
  <sheets>
    <sheet name="Summary" sheetId="18" r:id="rId1"/>
    <sheet name="Calculations" sheetId="3" state="veryHidden" r:id="rId2"/>
    <sheet name="Staging" sheetId="15" state="veryHidden" r:id="rId3"/>
    <sheet name="Rates 2023" sheetId="6" state="veryHidden" r:id="rId4"/>
  </sheets>
  <definedNames>
    <definedName name="_AMO_UniqueIdentifier" hidden="1">"'b36bc8c7-dcf1-425e-8dd9-1f929809a8f3'"</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hidden="1">#REF!</definedName>
    <definedName name="AS2DocOpenMode" hidden="1">"AS2DocumentEdit"</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3" l="1"/>
  <c r="H48" i="3"/>
  <c r="H47" i="3"/>
  <c r="C3" i="3" l="1"/>
  <c r="E65" i="3" l="1"/>
  <c r="E64" i="3"/>
  <c r="E61" i="3"/>
  <c r="D61" i="3"/>
  <c r="C61" i="3"/>
  <c r="C14" i="3"/>
  <c r="C13" i="3"/>
  <c r="C12" i="3"/>
  <c r="C10" i="3"/>
  <c r="C9" i="3"/>
  <c r="C11" i="3" l="1"/>
  <c r="E66" i="3"/>
  <c r="D43" i="3" l="1"/>
  <c r="C70" i="3" l="1"/>
  <c r="E70" i="3"/>
  <c r="I19" i="18" s="1"/>
  <c r="D70" i="3"/>
  <c r="K12" i="18" s="1"/>
  <c r="K18" i="18" l="1"/>
  <c r="K11" i="18"/>
  <c r="I13" i="18"/>
  <c r="C2" i="3" l="1"/>
  <c r="C4" i="3" l="1" a="1"/>
  <c r="C4" i="3" s="1"/>
  <c r="D3" i="3" s="1"/>
  <c r="D33" i="3"/>
  <c r="C39" i="3" l="1"/>
  <c r="E23" i="3"/>
  <c r="D4" i="3" a="1"/>
  <c r="D4" i="3" s="1"/>
  <c r="E25" i="3"/>
  <c r="E22" i="3"/>
  <c r="D37" i="3"/>
  <c r="D23" i="3"/>
  <c r="C22" i="3"/>
  <c r="E21" i="3"/>
  <c r="E20" i="3" s="1"/>
  <c r="E33" i="3"/>
  <c r="C33" i="3"/>
  <c r="D22" i="3"/>
  <c r="E19" i="3"/>
  <c r="C37" i="3"/>
  <c r="C23" i="3"/>
  <c r="D32" i="3"/>
  <c r="D24" i="3"/>
  <c r="C34" i="3"/>
  <c r="C35" i="3" s="1"/>
  <c r="C36" i="3" s="1"/>
  <c r="E26" i="3"/>
  <c r="D19" i="3"/>
  <c r="D31" i="3" s="1"/>
  <c r="C24" i="3"/>
  <c r="C21" i="3"/>
  <c r="C20" i="3" s="1"/>
  <c r="D34" i="3"/>
  <c r="C30" i="3"/>
  <c r="E24" i="3"/>
  <c r="E30" i="3"/>
  <c r="C32" i="3"/>
  <c r="D30" i="3"/>
  <c r="E32" i="3"/>
  <c r="D21" i="3"/>
  <c r="D20" i="3" s="1"/>
  <c r="C15" i="3"/>
  <c r="C16" i="3" s="1"/>
  <c r="D42" i="3" s="1"/>
  <c r="C19" i="3"/>
  <c r="C31" i="3" s="1"/>
  <c r="E41" i="3" l="1"/>
  <c r="E42" i="3" s="1"/>
  <c r="E68" i="3"/>
  <c r="E29" i="3" s="1"/>
  <c r="E56" i="3" s="1"/>
  <c r="C29" i="3"/>
  <c r="C52" i="3" s="1"/>
  <c r="E46" i="3"/>
  <c r="D68" i="3"/>
  <c r="D69" i="3" s="1"/>
  <c r="D35" i="3"/>
  <c r="D36" i="3" s="1"/>
  <c r="C68" i="3"/>
  <c r="C69" i="3" s="1"/>
  <c r="E10" i="18"/>
  <c r="C15" i="18"/>
  <c r="C42" i="3"/>
  <c r="C17" i="18"/>
  <c r="E31" i="3"/>
  <c r="E20" i="18"/>
  <c r="E21" i="18" s="1"/>
  <c r="E43" i="3"/>
  <c r="C47" i="3"/>
  <c r="C48" i="3"/>
  <c r="D49" i="3"/>
  <c r="C49" i="3"/>
  <c r="D47" i="3"/>
  <c r="D48" i="3"/>
  <c r="E69" i="3" l="1"/>
  <c r="D29" i="3"/>
  <c r="D52" i="3" s="1"/>
  <c r="D53" i="3" s="1"/>
  <c r="C56" i="3"/>
  <c r="C57" i="3" s="1"/>
  <c r="F12" i="18" s="1"/>
  <c r="E52" i="3"/>
  <c r="D62" i="3"/>
  <c r="J12" i="18" s="1"/>
  <c r="C62" i="3"/>
  <c r="J11" i="18" s="1"/>
  <c r="C53" i="3"/>
  <c r="F23" i="18"/>
  <c r="E71" i="3"/>
  <c r="E58" i="3" l="1"/>
  <c r="E25" i="18" s="1"/>
  <c r="G23" i="18" s="1"/>
  <c r="C58" i="3"/>
  <c r="E13" i="18" s="1"/>
  <c r="G11" i="18" s="1"/>
  <c r="D56" i="3"/>
  <c r="C71" i="3"/>
  <c r="F11" i="18"/>
  <c r="E47" i="3"/>
  <c r="E48" i="3"/>
  <c r="D58" i="3" l="1"/>
  <c r="E17" i="18" s="1"/>
  <c r="G15" i="18" s="1"/>
  <c r="F15" i="18"/>
  <c r="D57" i="3"/>
  <c r="F16" i="18" s="1"/>
  <c r="D71" i="3"/>
  <c r="E57" i="3"/>
  <c r="F24" i="18" s="1"/>
  <c r="E53" i="3"/>
  <c r="E49" i="3"/>
  <c r="E62" i="3" l="1"/>
  <c r="J1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<sst xmlns="http://schemas.openxmlformats.org/spreadsheetml/2006/main" count="500" uniqueCount="201">
  <si>
    <r>
      <rPr>
        <b/>
        <sz val="22"/>
        <color rgb="FF171C94"/>
        <rFont val="Arial"/>
        <family val="2"/>
      </rPr>
      <t xml:space="preserve">Insurance calculator for Deloitte employees 
in AustralianSuper Select
</t>
    </r>
    <r>
      <rPr>
        <sz val="12"/>
        <color rgb="FF171C94"/>
        <rFont val="Arial"/>
        <family val="2"/>
      </rPr>
      <t>Rates are valid as at 27 May 2023</t>
    </r>
  </si>
  <si>
    <r>
      <t xml:space="preserve">Use this calculator to understand your basic cover amount and the cost of it in AustralianSuper Select for Deloitte. You can also calculate the cost of any amount of cover. Eligibility and terms and conditions apply. 
If you’re an existing AustralianSuper member and not in AustralianSuper Select for Deloitte, please refer to the relevant Product Disclosure Statement for your plan. See below for additional important information. 
</t>
    </r>
    <r>
      <rPr>
        <b/>
        <sz val="18"/>
        <color rgb="FFEB6800"/>
        <rFont val="Arial"/>
        <family val="2"/>
      </rPr>
      <t>Enter your details in the orange fields to reveal cover and costs in the white fields.</t>
    </r>
  </si>
  <si>
    <t>A. Your details</t>
  </si>
  <si>
    <t>B. Basic cover and the cost of it</t>
  </si>
  <si>
    <t>C. Cost of any amount of cover</t>
  </si>
  <si>
    <t xml:space="preserve">Enter your details in the orange fields below. Basic cover and costs appear in Section B. </t>
  </si>
  <si>
    <t>What's my basic cover and how much will it cost?</t>
  </si>
  <si>
    <t>What’s the cost of the additional cover that I request?</t>
  </si>
  <si>
    <r>
      <rPr>
        <b/>
        <sz val="11"/>
        <color rgb="FF53565A"/>
        <rFont val="Arial"/>
        <family val="2"/>
      </rPr>
      <t xml:space="preserve">Note: </t>
    </r>
    <r>
      <rPr>
        <sz val="11"/>
        <color rgb="FF53565A"/>
        <rFont val="Arial"/>
        <family val="2"/>
      </rPr>
      <t xml:space="preserve">Basic cover shown below may be subject to automatic limits, age and other eligibility conditions. The cover amounts below are not capped at the automatic limits, and you may be required to provide detailed health information to the Insurer if your cover reaches these limits. If your basic cover is salary based, your employer will provide us with your salary to calculate your basic cover. See the </t>
    </r>
    <r>
      <rPr>
        <i/>
        <sz val="11"/>
        <color rgb="FF53565A"/>
        <rFont val="Arial"/>
        <family val="2"/>
      </rPr>
      <t xml:space="preserve">AustralianSuper Select for Deloitte </t>
    </r>
    <r>
      <rPr>
        <sz val="11"/>
        <color rgb="FF53565A"/>
        <rFont val="Arial"/>
        <family val="2"/>
      </rPr>
      <t xml:space="preserve">booklet at </t>
    </r>
    <r>
      <rPr>
        <b/>
        <sz val="11"/>
        <color rgb="FF53565A"/>
        <rFont val="Arial"/>
        <family val="2"/>
      </rPr>
      <t>australiansuper.com/deloitte</t>
    </r>
    <r>
      <rPr>
        <i/>
        <sz val="11"/>
        <color rgb="FF53565A"/>
        <rFont val="Arial"/>
        <family val="2"/>
      </rPr>
      <t xml:space="preserve"> </t>
    </r>
    <r>
      <rPr>
        <sz val="11"/>
        <color rgb="FF53565A"/>
        <rFont val="Arial"/>
        <family val="2"/>
      </rPr>
      <t>for more information about basic cover.</t>
    </r>
  </si>
  <si>
    <t>If you would like to know the cost for a specific amount of cover, 
please enter your details in the orange fields in Section A and the cover amounts you want to calculate in the orange fields in Section C below.</t>
  </si>
  <si>
    <t>Basic Death and Total &amp; Permanent Disablement (TPD) cover and costs</t>
  </si>
  <si>
    <t>Specified cover amounts and costs</t>
  </si>
  <si>
    <t>Date of birth</t>
  </si>
  <si>
    <t>Your Death and TPD cover is based on the following formula:</t>
  </si>
  <si>
    <t>Death Cover amount</t>
  </si>
  <si>
    <r>
      <rPr>
        <sz val="11"/>
        <color rgb="FF53565A"/>
        <rFont val="Arial Bold"/>
      </rPr>
      <t>Annual (before-tax) salary*</t>
    </r>
    <r>
      <rPr>
        <sz val="11"/>
        <color rgb="FF53565A"/>
        <rFont val="Arial"/>
        <family val="2"/>
      </rPr>
      <t>, excluding employer super contributions</t>
    </r>
  </si>
  <si>
    <t>TPD Cover amount</t>
  </si>
  <si>
    <r>
      <rPr>
        <sz val="11"/>
        <color rgb="FF53565A"/>
        <rFont val="Arial Bold"/>
      </rPr>
      <t xml:space="preserve">Select your individual work rating
</t>
    </r>
    <r>
      <rPr>
        <sz val="11"/>
        <color rgb="FF53565A"/>
        <rFont val="Arial"/>
        <family val="2"/>
      </rPr>
      <t>It's Blue Collar unless you've applied to change it.</t>
    </r>
  </si>
  <si>
    <t>Blue Collar</t>
  </si>
  <si>
    <t>Death cover amount:</t>
  </si>
  <si>
    <t>Weekly cost of Death cover</t>
  </si>
  <si>
    <t>Weekly cost of cover:</t>
  </si>
  <si>
    <t>Weekly cost of TPD cover</t>
  </si>
  <si>
    <t>Work Rating</t>
  </si>
  <si>
    <r>
      <t xml:space="preserve">Your </t>
    </r>
    <r>
      <rPr>
        <b/>
        <sz val="11"/>
        <color rgb="FF53565A"/>
        <rFont val="Arial"/>
        <family val="2"/>
      </rPr>
      <t>category work rating</t>
    </r>
    <r>
      <rPr>
        <sz val="11"/>
        <color rgb="FF53565A"/>
        <rFont val="Arial"/>
        <family val="2"/>
      </rPr>
      <t xml:space="preserve"> (unique to your AustralianSuper Select employer) is</t>
    </r>
  </si>
  <si>
    <t>TPD cover amount:</t>
  </si>
  <si>
    <t>Monthly Income Protection amount</t>
  </si>
  <si>
    <t xml:space="preserve">If your category and individual work ratings are different, we’ll apply the work rating that’s less expensive to calculate the cost of your cover. </t>
  </si>
  <si>
    <t>Please select a benefit payment period</t>
  </si>
  <si>
    <r>
      <t xml:space="preserve">This is your </t>
    </r>
    <r>
      <rPr>
        <b/>
        <sz val="11"/>
        <color rgb="FF53565A"/>
        <rFont val="Arial"/>
        <family val="2"/>
      </rPr>
      <t>applied</t>
    </r>
    <r>
      <rPr>
        <sz val="11"/>
        <color rgb="FF53565A"/>
        <rFont val="Arial"/>
        <family val="2"/>
      </rPr>
      <t xml:space="preserve"> work rating:</t>
    </r>
  </si>
  <si>
    <t>Please select a waiting period</t>
  </si>
  <si>
    <t>Basic Income Protection and costs</t>
  </si>
  <si>
    <t>Weekly cost of Income Protection</t>
  </si>
  <si>
    <r>
      <t xml:space="preserve">The work rating you have is one of the factors that impacts the cost of your insurance cover. For more information on Work Ratings see the </t>
    </r>
    <r>
      <rPr>
        <i/>
        <sz val="11"/>
        <color rgb="FF53565A"/>
        <rFont val="Arial"/>
        <family val="2"/>
      </rPr>
      <t>AustralianSuper Select for Deloitte booklet</t>
    </r>
    <r>
      <rPr>
        <sz val="11"/>
        <color rgb="FF53565A"/>
        <rFont val="Arial"/>
        <family val="2"/>
      </rPr>
      <t xml:space="preserve"> at </t>
    </r>
    <r>
      <rPr>
        <b/>
        <sz val="11"/>
        <color rgb="FF53565A"/>
        <rFont val="Arial"/>
        <family val="2"/>
      </rPr>
      <t>australiansuper.com/deloitte</t>
    </r>
  </si>
  <si>
    <t>Your Monthly Income Protection is based on the following formula:</t>
  </si>
  <si>
    <t>* If your basic cover is salary based, your employer will provide us with your salary to calculate your basic cover.</t>
  </si>
  <si>
    <t>You may be required to provide detailed health information for the Insurer 
to consider if you apply for cover. Terms and conditions apply.</t>
  </si>
  <si>
    <t xml:space="preserve"> </t>
  </si>
  <si>
    <t>Monthly Income Protection amount:</t>
  </si>
  <si>
    <t>Contact us</t>
  </si>
  <si>
    <r>
      <rPr>
        <b/>
        <sz val="18"/>
        <color rgb="FF171C94"/>
        <rFont val="Arial"/>
        <family val="2"/>
      </rPr>
      <t xml:space="preserve">Call </t>
    </r>
    <r>
      <rPr>
        <sz val="18"/>
        <color rgb="FF171C94"/>
        <rFont val="Arial"/>
        <family val="2"/>
      </rPr>
      <t xml:space="preserve">    1300 667 387 </t>
    </r>
  </si>
  <si>
    <r>
      <rPr>
        <b/>
        <sz val="18"/>
        <color rgb="FF171C94"/>
        <rFont val="Arial"/>
        <family val="2"/>
      </rPr>
      <t>Email</t>
    </r>
    <r>
      <rPr>
        <sz val="18"/>
        <color rgb="FF171C94"/>
        <rFont val="Arial"/>
        <family val="2"/>
      </rPr>
      <t xml:space="preserve">  as.select@australiansuper.com</t>
    </r>
  </si>
  <si>
    <r>
      <rPr>
        <b/>
        <sz val="18"/>
        <color rgb="FF171C94"/>
        <rFont val="Arial"/>
        <family val="2"/>
      </rPr>
      <t>Web</t>
    </r>
    <r>
      <rPr>
        <sz val="18"/>
        <color rgb="FF171C94"/>
        <rFont val="Arial"/>
        <family val="2"/>
      </rPr>
      <t xml:space="preserve">    australiansuper.com/select</t>
    </r>
  </si>
  <si>
    <t>Employer</t>
  </si>
  <si>
    <t>REMOVE THIS ON EMPLOYER SHEETS</t>
  </si>
  <si>
    <t>% Occupation loading factor from STD</t>
  </si>
  <si>
    <t>Category</t>
  </si>
  <si>
    <t>Cell Fill Colour Key:</t>
  </si>
  <si>
    <t>White Collar</t>
  </si>
  <si>
    <t>Professional</t>
  </si>
  <si>
    <t>Category Name</t>
  </si>
  <si>
    <t>White</t>
  </si>
  <si>
    <t>Calculated on Sheet</t>
  </si>
  <si>
    <t>Death</t>
  </si>
  <si>
    <t>Orange</t>
  </si>
  <si>
    <t>Member Input Sheet</t>
  </si>
  <si>
    <t>TPD</t>
  </si>
  <si>
    <t>Yellow</t>
  </si>
  <si>
    <t>Staging Sheet</t>
  </si>
  <si>
    <t>2-year benefit period IP</t>
  </si>
  <si>
    <t>Blue</t>
  </si>
  <si>
    <t>Rates Sheet(s)</t>
  </si>
  <si>
    <t>5-year benefit period IP</t>
  </si>
  <si>
    <t>Member Details:</t>
  </si>
  <si>
    <t>To-age-65 IP</t>
  </si>
  <si>
    <t>Today's Date</t>
  </si>
  <si>
    <t>Date of Birth</t>
  </si>
  <si>
    <t>Age Last Birthday</t>
  </si>
  <si>
    <t>Gender</t>
  </si>
  <si>
    <t>Annual Salary</t>
  </si>
  <si>
    <t>Individual Work Rating</t>
  </si>
  <si>
    <t>Category Work Rating</t>
  </si>
  <si>
    <t>Best Work Rating</t>
  </si>
  <si>
    <t>Basic Cover Details:</t>
  </si>
  <si>
    <t>D</t>
  </si>
  <si>
    <t>IP</t>
  </si>
  <si>
    <t>Cover</t>
  </si>
  <si>
    <t>DTPD Designs:</t>
  </si>
  <si>
    <t>IP Designs:</t>
  </si>
  <si>
    <t>Type</t>
  </si>
  <si>
    <t>No basic cover</t>
  </si>
  <si>
    <t>Design</t>
  </si>
  <si>
    <t>Fixed</t>
  </si>
  <si>
    <t>Cessation_Age</t>
  </si>
  <si>
    <t>Age Based Scale</t>
  </si>
  <si>
    <t>AAL</t>
  </si>
  <si>
    <t>Multiple of Age Based Scale</t>
  </si>
  <si>
    <t>Max</t>
  </si>
  <si>
    <t>% x Sal x FYS</t>
  </si>
  <si>
    <t>% x Salary</t>
  </si>
  <si>
    <t>IP_Benfit_Period</t>
  </si>
  <si>
    <t>Multiple of Salary</t>
  </si>
  <si>
    <t>IP_Waiting_Period</t>
  </si>
  <si>
    <t>Sums Insured Variables</t>
  </si>
  <si>
    <t>Sums Insured (unrounded)</t>
  </si>
  <si>
    <t>Aged Based Scale</t>
  </si>
  <si>
    <t>AgeBasedMultiple</t>
  </si>
  <si>
    <t>%</t>
  </si>
  <si>
    <t>FYS</t>
  </si>
  <si>
    <t>Future Service End Date</t>
  </si>
  <si>
    <t>Years of Future Service</t>
  </si>
  <si>
    <t>Multiple</t>
  </si>
  <si>
    <t>Rate_Type</t>
  </si>
  <si>
    <t>Occupation Loading Factors</t>
  </si>
  <si>
    <t>Basic Cover</t>
  </si>
  <si>
    <t>Selected IP</t>
  </si>
  <si>
    <t>Weekly Rates</t>
  </si>
  <si>
    <t>Death Cover</t>
  </si>
  <si>
    <t>TPD Cover</t>
  </si>
  <si>
    <t>IP Cover</t>
  </si>
  <si>
    <t>Codes</t>
  </si>
  <si>
    <t>SE_STD_D</t>
  </si>
  <si>
    <t>SE_STD_T</t>
  </si>
  <si>
    <t>Location</t>
  </si>
  <si>
    <t>Rates</t>
  </si>
  <si>
    <t>Without AAL</t>
  </si>
  <si>
    <t>Age</t>
  </si>
  <si>
    <t>Fixed Cover</t>
  </si>
  <si>
    <t>With AAL</t>
  </si>
  <si>
    <t>Sum Insured</t>
  </si>
  <si>
    <t>Weekly premium</t>
  </si>
  <si>
    <t>Disclaimer?</t>
  </si>
  <si>
    <t>&lt;</t>
  </si>
  <si>
    <t>Selected Benefit Period</t>
  </si>
  <si>
    <t>Selected Waiting Period</t>
  </si>
  <si>
    <t>Non-Default Design</t>
  </si>
  <si>
    <t>Default Cover ends at age</t>
  </si>
  <si>
    <t>Default Cover End Age Check</t>
  </si>
  <si>
    <t>Specific Cover Age Check</t>
  </si>
  <si>
    <t>Over AAL Check</t>
  </si>
  <si>
    <t>Deloitte</t>
  </si>
  <si>
    <t>IP List</t>
  </si>
  <si>
    <t># of Categories</t>
  </si>
  <si>
    <t>30 days</t>
  </si>
  <si>
    <t>60 days</t>
  </si>
  <si>
    <t>Employer-Category</t>
  </si>
  <si>
    <t>Deloitte-1</t>
  </si>
  <si>
    <t>Deloitte-2</t>
  </si>
  <si>
    <t>Deloitte-3</t>
  </si>
  <si>
    <t>Deloitte-4</t>
  </si>
  <si>
    <t>Deloitte-5</t>
  </si>
  <si>
    <t>90 days</t>
  </si>
  <si>
    <t>E-C Listing Match</t>
  </si>
  <si>
    <t/>
  </si>
  <si>
    <t>Permanent employees</t>
  </si>
  <si>
    <t>Uni-sex</t>
  </si>
  <si>
    <t>Work_Rating</t>
  </si>
  <si>
    <t>PRO</t>
  </si>
  <si>
    <t>D_Design</t>
  </si>
  <si>
    <t>D_Cessation_Age</t>
  </si>
  <si>
    <t>D_Fixed</t>
  </si>
  <si>
    <t>D_AgeBasedMultiple</t>
  </si>
  <si>
    <t>D_%</t>
  </si>
  <si>
    <t>D_FYS</t>
  </si>
  <si>
    <t>D_Multiple</t>
  </si>
  <si>
    <t>D_AAL</t>
  </si>
  <si>
    <t>D_Max</t>
  </si>
  <si>
    <t>TPD_Design</t>
  </si>
  <si>
    <t>TPD_Cessation_Age</t>
  </si>
  <si>
    <t>TPD_Fixed</t>
  </si>
  <si>
    <t>TPD_AgeBasedMultiple</t>
  </si>
  <si>
    <t>TPD_%</t>
  </si>
  <si>
    <t>TPD_FYS</t>
  </si>
  <si>
    <t>TPD_Multiple</t>
  </si>
  <si>
    <t>TPD_AAL</t>
  </si>
  <si>
    <t>TPD_Max</t>
  </si>
  <si>
    <t>IP_Design</t>
  </si>
  <si>
    <t>IP_Cessation_Age</t>
  </si>
  <si>
    <t>IP_Fixed</t>
  </si>
  <si>
    <t>IP_AgeBasedMultiple</t>
  </si>
  <si>
    <t>IP_%</t>
  </si>
  <si>
    <t>IP_AAL</t>
  </si>
  <si>
    <t>IP_Max</t>
  </si>
  <si>
    <t>Death Design</t>
  </si>
  <si>
    <t>15% x Salary x Future Service to age 65</t>
  </si>
  <si>
    <t>0 x Salary</t>
  </si>
  <si>
    <t>TPD Design</t>
  </si>
  <si>
    <t>Income Protection Design</t>
  </si>
  <si>
    <t>85% x Salary</t>
  </si>
  <si>
    <t>Deloitte Select Rates for Blue Collar Work Rating</t>
  </si>
  <si>
    <t>Weekly premium per $10,000 sum insured (Death and TPD) and per $100 of monthly benefit (IP)</t>
  </si>
  <si>
    <t>Rounded to 3 decimals for Death and TPD and 3 decimals for IP</t>
  </si>
  <si>
    <t>Age Attained</t>
  </si>
  <si>
    <t>DEATH AND TPD</t>
  </si>
  <si>
    <t>2 year benefit period</t>
  </si>
  <si>
    <t>5 year benefit period</t>
  </si>
  <si>
    <t>TO AGE 65 benefit period</t>
  </si>
  <si>
    <t>DEATH</t>
  </si>
  <si>
    <t>IP - 30 days</t>
  </si>
  <si>
    <t>IP - 60 days</t>
  </si>
  <si>
    <t>IP - 90 days</t>
  </si>
  <si>
    <t>SE_STD_2_30</t>
  </si>
  <si>
    <t>SE_STD_2_60</t>
  </si>
  <si>
    <t>SE_STD_2_90</t>
  </si>
  <si>
    <t>SE_STD_5_30</t>
  </si>
  <si>
    <t>SE_STD_5_60</t>
  </si>
  <si>
    <t>SE_STD_5_90</t>
  </si>
  <si>
    <t>SE_STD_65_30</t>
  </si>
  <si>
    <t>SE_STD_65_60</t>
  </si>
  <si>
    <t>SE_STD_65_90</t>
  </si>
  <si>
    <r>
      <rPr>
        <b/>
        <sz val="11"/>
        <color rgb="FF53565A"/>
        <rFont val="Arial"/>
        <family val="2"/>
      </rPr>
      <t>Important information</t>
    </r>
    <r>
      <rPr>
        <sz val="11"/>
        <color rgb="FF53565A"/>
        <rFont val="Arial"/>
        <family val="2"/>
      </rPr>
      <t xml:space="preserve">
This calculator shows the cost of insurance and the basic cover amount you may be eligible for in AustralianSuper Select. 
The outcome produced is illustrative only and should not be relied upon as a guarantee. It does not reflect your ability to obtain the level of cover presented as this may be subject to underwriting assessment and approval, premium loadings and/or policy exclusions. The calculator does not take into account your personal objectives, situation or needs.
You should read the information about AustralianSuper Select and insurance in our AustralianSuper Select Product Disclosure Statement, AustralianSuper Select booklet for your employer and Insurance in your super guide for AustralianSuper Select members at australiansuper.com/deloitte. They detail important terms and conditions about insurance, including costs, your eligibility for cover, how much you can apply for, what you’re covered for, when it starts and stops, active employment, limited cover and exclusions, your insurance options, and what happens if you leave your employer. Your eligibility to claim for benefits will be determined by the Insurer in line with the insurance policy terms and conditions. TAL Life Limited ABN 70 050 109 450 AFSL 237848, is the Insurer for all insurance cover provided through AustralianSuper to its members.
This calculator is not intended to influence your decision about your super or any financial product. Before making financial decisions, it’s important you evaluate the appropriateness of insurance to your financial circumstances. You should consider the cost of cover over time as this may impact the amount of money you have in retirement. The higher the premiums the less savings you will have available for your income when you stop working.
Issued by AustralianSuper Pty Ltd ABN 94 006 457 987, AFSL 233788, the Trustee of AustralianSuper ABN 65 714 394 898.  
Last updated May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</si>
</sst>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0.000"/>
    <numFmt numFmtId="166" formatCode="_-&quot;$&quot;* #,##0_-;\-&quot;$&quot;* #,##0_-;_-&quot;$&quot;* &quot;-&quot;??_-;_-@_-"/>
    <numFmt numFmtId="167" formatCode="&quot;$&quot;#,##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9"/>
      <color theme="1"/>
      <name val="Arial"/>
      <family val="2"/>
    </font>
    <font>
      <b/>
      <sz val="10"/>
      <color theme="1"/>
      <name val="Arial"/>
      <family val="2"/>
    </font>
    <font>
      <b/>
      <sz val="10"/>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20"/>
      <color theme="1"/>
      <name val="Calibri"/>
      <family val="2"/>
      <scheme val="minor"/>
    </font>
    <font>
      <sz val="11"/>
      <color theme="1"/>
      <name val="Arial"/>
      <family val="2"/>
    </font>
    <font>
      <sz val="11"/>
      <color rgb="FFFF0000"/>
      <name val="Arial"/>
      <family val="2"/>
    </font>
    <font>
      <sz val="11"/>
      <color rgb="FF53565A"/>
      <name val="Arial"/>
      <family val="2"/>
    </font>
    <font>
      <sz val="18"/>
      <color rgb="FF171C94"/>
      <name val="Arial"/>
      <family val="2"/>
    </font>
    <font>
      <b/>
      <sz val="18"/>
      <color rgb="FF171C94"/>
      <name val="Arial"/>
      <family val="2"/>
    </font>
    <font>
      <sz val="18"/>
      <color rgb="FF53565A"/>
      <name val="Arial"/>
      <family val="2"/>
    </font>
    <font>
      <sz val="24"/>
      <color rgb="FF171C94"/>
      <name val="Arial Bold"/>
    </font>
    <font>
      <b/>
      <sz val="11"/>
      <color rgb="FF53565A"/>
      <name val="Arial"/>
      <family val="2"/>
    </font>
    <font>
      <sz val="8"/>
      <color rgb="FFFF0000"/>
      <name val="Arial"/>
      <family val="2"/>
    </font>
    <font>
      <sz val="11"/>
      <color rgb="FF53565A"/>
      <name val="Arial Bold"/>
    </font>
    <font>
      <sz val="14"/>
      <color rgb="FF171C94"/>
      <name val="Arial Bold"/>
    </font>
    <font>
      <sz val="9"/>
      <color rgb="FF53565A"/>
      <name val="Arial"/>
      <family val="2"/>
    </font>
    <font>
      <sz val="11"/>
      <color rgb="FF171C94"/>
      <name val="Arial Italic"/>
    </font>
    <font>
      <sz val="14"/>
      <color rgb="FF171C94"/>
      <name val="Arial Italic"/>
    </font>
    <font>
      <i/>
      <sz val="11"/>
      <color rgb="FF53565A"/>
      <name val="Arial"/>
      <family val="2"/>
    </font>
    <font>
      <b/>
      <sz val="14"/>
      <color rgb="FF171C94"/>
      <name val="Arial Bold"/>
    </font>
    <font>
      <sz val="14"/>
      <color rgb="FF53565A"/>
      <name val="Arial"/>
      <family val="2"/>
    </font>
    <font>
      <sz val="14"/>
      <color theme="1"/>
      <name val="Arial"/>
      <family val="2"/>
    </font>
    <font>
      <b/>
      <sz val="14"/>
      <color rgb="FF171C94"/>
      <name val="Arial"/>
      <family val="2"/>
    </font>
    <font>
      <b/>
      <sz val="11"/>
      <color rgb="FF53565A"/>
      <name val="Arial Italic"/>
    </font>
    <font>
      <b/>
      <i/>
      <sz val="11"/>
      <color rgb="FF53565A"/>
      <name val="Arial Italic"/>
    </font>
    <font>
      <sz val="18"/>
      <color theme="1"/>
      <name val="Arial"/>
      <family val="2"/>
    </font>
    <font>
      <sz val="18"/>
      <color rgb="FFEB6800"/>
      <name val="Arial"/>
      <family val="2"/>
    </font>
    <font>
      <sz val="18"/>
      <color rgb="FF171C94"/>
      <name val="Arial Bold"/>
    </font>
    <font>
      <b/>
      <sz val="18"/>
      <color rgb="FFEB6800"/>
      <name val="Arial"/>
      <family val="2"/>
    </font>
    <font>
      <b/>
      <sz val="24"/>
      <color theme="1"/>
      <name val="Arial"/>
      <family val="2"/>
    </font>
    <font>
      <b/>
      <sz val="24"/>
      <color rgb="FF171C94"/>
      <name val="Arial"/>
      <family val="2"/>
    </font>
    <font>
      <b/>
      <sz val="22"/>
      <color rgb="FF171C94"/>
      <name val="Arial"/>
      <family val="2"/>
    </font>
    <font>
      <sz val="12"/>
      <color rgb="FF171C94"/>
      <name val="Arial"/>
      <family val="2"/>
    </font>
  </fonts>
  <fills count="2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C5D9F1"/>
        <bgColor rgb="FF000000"/>
      </patternFill>
    </fill>
    <fill>
      <patternFill patternType="solid">
        <fgColor rgb="FFF4B083"/>
        <bgColor rgb="FF000000"/>
      </patternFill>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8D8ED"/>
        <bgColor indexed="64"/>
      </patternFill>
    </fill>
    <fill>
      <patternFill patternType="solid">
        <fgColor rgb="FFD9D9D6"/>
        <bgColor indexed="64"/>
      </patternFill>
    </fill>
    <fill>
      <patternFill patternType="solid">
        <fgColor rgb="FFEBEBEB"/>
        <bgColor indexed="64"/>
      </patternFill>
    </fill>
    <fill>
      <patternFill patternType="solid">
        <fgColor theme="0"/>
        <bgColor indexed="64"/>
      </patternFill>
    </fill>
    <fill>
      <patternFill patternType="solid">
        <fgColor rgb="FFFFA3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1" fillId="0" borderId="0"/>
  </cellStyleXfs>
  <cellXfs count="155">
    <xf numFmtId="0" fontId="0" fillId="0" borderId="0" xfId="0"/>
    <xf numFmtId="0" fontId="2" fillId="0" borderId="0" xfId="0" applyFont="1"/>
    <xf numFmtId="0" fontId="0" fillId="0" borderId="0" xfId="0" applyAlignment="1">
      <alignment horizontal="center"/>
    </xf>
    <xf numFmtId="14" fontId="0" fillId="0" borderId="0" xfId="0" applyNumberFormat="1" applyAlignment="1">
      <alignment horizontal="center"/>
    </xf>
    <xf numFmtId="0" fontId="3" fillId="2" borderId="0" xfId="0" applyFont="1" applyFill="1"/>
    <xf numFmtId="0" fontId="0" fillId="2" borderId="0" xfId="0" applyFill="1" applyAlignment="1">
      <alignment horizontal="center"/>
    </xf>
    <xf numFmtId="0" fontId="0" fillId="2" borderId="0" xfId="0" applyFill="1"/>
    <xf numFmtId="0" fontId="2" fillId="0" borderId="0" xfId="0" applyFont="1" applyAlignment="1">
      <alignment horizontal="left"/>
    </xf>
    <xf numFmtId="0" fontId="2" fillId="3" borderId="4"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6" fillId="7" borderId="4" xfId="0" applyFont="1" applyFill="1" applyBorder="1" applyAlignment="1">
      <alignment horizontal="center" vertical="center"/>
    </xf>
    <xf numFmtId="0" fontId="4" fillId="0" borderId="6" xfId="0" applyFont="1" applyBorder="1" applyAlignment="1">
      <alignment horizontal="center" vertical="center" wrapText="1"/>
    </xf>
    <xf numFmtId="164" fontId="0" fillId="0" borderId="4" xfId="1" applyNumberFormat="1" applyFont="1" applyBorder="1" applyAlignment="1">
      <alignment horizontal="center"/>
    </xf>
    <xf numFmtId="165" fontId="0" fillId="0" borderId="4" xfId="1" applyNumberFormat="1" applyFont="1" applyBorder="1" applyAlignment="1">
      <alignment horizontal="center"/>
    </xf>
    <xf numFmtId="0" fontId="4" fillId="0" borderId="4" xfId="0" applyFont="1" applyBorder="1" applyAlignment="1">
      <alignment horizontal="center" vertical="center" wrapText="1"/>
    </xf>
    <xf numFmtId="0" fontId="0" fillId="0" borderId="4" xfId="0" applyBorder="1" applyAlignment="1">
      <alignment horizontal="center"/>
    </xf>
    <xf numFmtId="0" fontId="0" fillId="0" borderId="4" xfId="0" applyBorder="1"/>
    <xf numFmtId="4" fontId="4" fillId="6" borderId="4" xfId="0" applyNumberFormat="1" applyFont="1" applyFill="1" applyBorder="1" applyAlignment="1">
      <alignment horizontal="center" vertical="center" wrapText="1"/>
    </xf>
    <xf numFmtId="0" fontId="0" fillId="9" borderId="4" xfId="0" applyFill="1" applyBorder="1"/>
    <xf numFmtId="0" fontId="0" fillId="9" borderId="4" xfId="0" applyFill="1" applyBorder="1" applyAlignment="1">
      <alignment horizontal="center"/>
    </xf>
    <xf numFmtId="0" fontId="0" fillId="8" borderId="4" xfId="0" applyFill="1" applyBorder="1"/>
    <xf numFmtId="0" fontId="0" fillId="8" borderId="4" xfId="0" applyFill="1" applyBorder="1" applyAlignment="1">
      <alignment horizontal="center"/>
    </xf>
    <xf numFmtId="0" fontId="7" fillId="0" borderId="4" xfId="0" applyFont="1" applyBorder="1" applyAlignment="1">
      <alignment vertical="center"/>
    </xf>
    <xf numFmtId="9" fontId="8" fillId="0" borderId="4" xfId="0" applyNumberFormat="1" applyFont="1" applyBorder="1" applyAlignment="1">
      <alignment horizontal="center" vertical="center"/>
    </xf>
    <xf numFmtId="0" fontId="7" fillId="11" borderId="4" xfId="0" applyFont="1" applyFill="1" applyBorder="1" applyAlignment="1">
      <alignment vertical="center"/>
    </xf>
    <xf numFmtId="9" fontId="8" fillId="11" borderId="4" xfId="0" applyNumberFormat="1" applyFont="1" applyFill="1" applyBorder="1" applyAlignment="1">
      <alignment horizontal="center" vertical="center"/>
    </xf>
    <xf numFmtId="1" fontId="0" fillId="0" borderId="0" xfId="0" applyNumberFormat="1"/>
    <xf numFmtId="0" fontId="0" fillId="0" borderId="0" xfId="0" applyAlignment="1">
      <alignment horizontal="right"/>
    </xf>
    <xf numFmtId="0" fontId="0" fillId="12" borderId="0" xfId="0" applyFill="1"/>
    <xf numFmtId="0" fontId="2" fillId="0" borderId="4" xfId="0" applyFont="1" applyBorder="1"/>
    <xf numFmtId="0" fontId="7" fillId="10" borderId="4" xfId="0" applyFont="1" applyFill="1" applyBorder="1" applyAlignment="1">
      <alignment horizontal="center" vertical="center"/>
    </xf>
    <xf numFmtId="14" fontId="0" fillId="9" borderId="4" xfId="0" applyNumberFormat="1" applyFill="1" applyBorder="1" applyAlignment="1">
      <alignment horizontal="center"/>
    </xf>
    <xf numFmtId="0" fontId="9" fillId="0" borderId="0" xfId="0" applyFont="1" applyAlignment="1">
      <alignment wrapText="1"/>
    </xf>
    <xf numFmtId="0" fontId="0" fillId="13" borderId="4" xfId="0" applyFill="1" applyBorder="1"/>
    <xf numFmtId="0" fontId="0" fillId="3" borderId="4" xfId="0" applyFill="1" applyBorder="1"/>
    <xf numFmtId="0" fontId="0" fillId="0" borderId="4" xfId="0" applyBorder="1" applyAlignment="1">
      <alignment horizontal="center" wrapText="1"/>
    </xf>
    <xf numFmtId="0" fontId="0" fillId="8" borderId="4" xfId="0" applyFill="1" applyBorder="1" applyAlignment="1">
      <alignment horizontal="center" wrapText="1"/>
    </xf>
    <xf numFmtId="165" fontId="0" fillId="0" borderId="4" xfId="1" applyNumberFormat="1" applyFont="1" applyFill="1" applyBorder="1" applyAlignment="1">
      <alignment horizontal="center"/>
    </xf>
    <xf numFmtId="0" fontId="0" fillId="14" borderId="4" xfId="0" applyFill="1" applyBorder="1"/>
    <xf numFmtId="9" fontId="0" fillId="14" borderId="4" xfId="0" applyNumberFormat="1" applyFill="1" applyBorder="1" applyAlignment="1">
      <alignment horizontal="center" wrapText="1"/>
    </xf>
    <xf numFmtId="0" fontId="0" fillId="12" borderId="4" xfId="0" applyFill="1" applyBorder="1"/>
    <xf numFmtId="9" fontId="0" fillId="12" borderId="4" xfId="0" applyNumberFormat="1" applyFill="1" applyBorder="1" applyAlignment="1">
      <alignment horizontal="center" wrapText="1"/>
    </xf>
    <xf numFmtId="0" fontId="0" fillId="12" borderId="4" xfId="0" applyFill="1" applyBorder="1" applyAlignment="1">
      <alignment horizontal="center" wrapText="1"/>
    </xf>
    <xf numFmtId="0" fontId="0" fillId="14" borderId="4" xfId="0" applyFill="1" applyBorder="1" applyAlignment="1">
      <alignment horizontal="center" wrapText="1"/>
    </xf>
    <xf numFmtId="0" fontId="0" fillId="14" borderId="4" xfId="0" applyFill="1" applyBorder="1" applyAlignment="1">
      <alignment wrapText="1"/>
    </xf>
    <xf numFmtId="0" fontId="0" fillId="0" borderId="1" xfId="0" applyBorder="1" applyAlignment="1">
      <alignment horizontal="left"/>
    </xf>
    <xf numFmtId="0" fontId="0" fillId="8" borderId="1" xfId="0" applyFill="1" applyBorder="1" applyAlignment="1">
      <alignment horizontal="center"/>
    </xf>
    <xf numFmtId="0" fontId="0" fillId="12" borderId="4" xfId="0" applyFill="1" applyBorder="1" applyAlignment="1">
      <alignment horizontal="left" wrapText="1"/>
    </xf>
    <xf numFmtId="0" fontId="0" fillId="12" borderId="4" xfId="2" applyNumberFormat="1" applyFont="1" applyFill="1" applyBorder="1" applyAlignment="1">
      <alignment horizontal="center" wrapText="1"/>
    </xf>
    <xf numFmtId="0" fontId="0" fillId="0" borderId="4" xfId="0" applyBorder="1" applyAlignment="1">
      <alignment horizontal="left" wrapText="1"/>
    </xf>
    <xf numFmtId="0" fontId="0" fillId="0" borderId="4" xfId="0" applyBorder="1" applyAlignment="1">
      <alignment wrapText="1"/>
    </xf>
    <xf numFmtId="166" fontId="0" fillId="9" borderId="4" xfId="2" applyNumberFormat="1" applyFont="1" applyFill="1" applyBorder="1" applyAlignment="1"/>
    <xf numFmtId="14" fontId="0" fillId="0" borderId="4" xfId="0" applyNumberFormat="1" applyBorder="1" applyAlignment="1">
      <alignment horizontal="center"/>
    </xf>
    <xf numFmtId="166" fontId="0" fillId="0" borderId="0" xfId="2" applyNumberFormat="1" applyFont="1" applyAlignment="1">
      <alignment horizontal="center"/>
    </xf>
    <xf numFmtId="0" fontId="0" fillId="0" borderId="0" xfId="0" applyAlignment="1">
      <alignment horizontal="left"/>
    </xf>
    <xf numFmtId="0" fontId="2" fillId="12" borderId="4" xfId="0" applyFont="1" applyFill="1" applyBorder="1"/>
    <xf numFmtId="44" fontId="0" fillId="9" borderId="4" xfId="2" applyFont="1" applyFill="1" applyBorder="1" applyAlignment="1">
      <alignment horizontal="right"/>
    </xf>
    <xf numFmtId="44" fontId="0" fillId="12" borderId="4" xfId="0" applyNumberFormat="1" applyFill="1" applyBorder="1" applyAlignment="1">
      <alignment horizontal="right"/>
    </xf>
    <xf numFmtId="0" fontId="2" fillId="8" borderId="4" xfId="0" applyFont="1" applyFill="1" applyBorder="1"/>
    <xf numFmtId="44" fontId="0" fillId="8" borderId="4" xfId="2" applyFont="1" applyFill="1" applyBorder="1" applyAlignment="1">
      <alignment horizontal="right"/>
    </xf>
    <xf numFmtId="44" fontId="0" fillId="8" borderId="4" xfId="0" applyNumberFormat="1" applyFill="1" applyBorder="1" applyAlignment="1">
      <alignment horizontal="right"/>
    </xf>
    <xf numFmtId="44" fontId="0" fillId="0" borderId="4" xfId="2" applyFont="1" applyBorder="1" applyAlignment="1">
      <alignment horizontal="right"/>
    </xf>
    <xf numFmtId="44" fontId="0" fillId="0" borderId="4" xfId="0" applyNumberFormat="1" applyBorder="1" applyAlignment="1">
      <alignment horizontal="right"/>
    </xf>
    <xf numFmtId="2" fontId="0" fillId="0" borderId="4" xfId="0" applyNumberFormat="1" applyBorder="1" applyAlignment="1">
      <alignment horizontal="center"/>
    </xf>
    <xf numFmtId="0" fontId="0" fillId="14" borderId="0" xfId="0" applyFill="1"/>
    <xf numFmtId="2" fontId="0" fillId="9" borderId="4" xfId="0" applyNumberFormat="1" applyFill="1" applyBorder="1" applyAlignment="1">
      <alignment horizontal="center"/>
    </xf>
    <xf numFmtId="0" fontId="0" fillId="9" borderId="4" xfId="0" applyFill="1" applyBorder="1" applyAlignment="1">
      <alignment horizontal="center" wrapText="1"/>
    </xf>
    <xf numFmtId="0" fontId="11" fillId="0" borderId="0" xfId="4" applyAlignment="1">
      <alignment wrapText="1"/>
    </xf>
    <xf numFmtId="0" fontId="11" fillId="15" borderId="0" xfId="4" applyFill="1" applyAlignment="1">
      <alignment vertical="top" wrapText="1"/>
    </xf>
    <xf numFmtId="0" fontId="11" fillId="15" borderId="0" xfId="4" applyFill="1" applyAlignment="1">
      <alignment horizontal="right" vertical="top" wrapText="1"/>
    </xf>
    <xf numFmtId="0" fontId="12" fillId="15" borderId="0" xfId="4" applyFont="1" applyFill="1" applyAlignment="1">
      <alignment horizontal="right" vertical="top" wrapText="1"/>
    </xf>
    <xf numFmtId="0" fontId="11" fillId="16" borderId="0" xfId="4" applyFill="1" applyAlignment="1">
      <alignment vertical="top" wrapText="1"/>
    </xf>
    <xf numFmtId="0" fontId="16" fillId="15" borderId="0" xfId="4" applyFont="1" applyFill="1" applyAlignment="1">
      <alignment vertical="top" wrapText="1"/>
    </xf>
    <xf numFmtId="0" fontId="14" fillId="15" borderId="0" xfId="4" applyFont="1" applyFill="1" applyAlignment="1">
      <alignment vertical="top" wrapText="1"/>
    </xf>
    <xf numFmtId="0" fontId="17" fillId="15" borderId="0" xfId="4" applyFont="1" applyFill="1" applyAlignment="1">
      <alignment vertical="top" wrapText="1"/>
    </xf>
    <xf numFmtId="0" fontId="19" fillId="16" borderId="0" xfId="4" applyFont="1" applyFill="1" applyAlignment="1">
      <alignment vertical="top" wrapText="1"/>
    </xf>
    <xf numFmtId="0" fontId="20" fillId="16" borderId="0" xfId="4" applyFont="1" applyFill="1" applyAlignment="1">
      <alignment wrapText="1"/>
    </xf>
    <xf numFmtId="0" fontId="11" fillId="14" borderId="0" xfId="4" applyFill="1" applyAlignment="1">
      <alignment vertical="top" wrapText="1"/>
    </xf>
    <xf numFmtId="0" fontId="11" fillId="17" borderId="0" xfId="4" applyFill="1" applyAlignment="1">
      <alignment vertical="top" wrapText="1"/>
    </xf>
    <xf numFmtId="44" fontId="21" fillId="17" borderId="0" xfId="4" applyNumberFormat="1" applyFont="1" applyFill="1" applyAlignment="1">
      <alignment horizontal="left" vertical="center" wrapText="1"/>
    </xf>
    <xf numFmtId="0" fontId="22" fillId="17" borderId="0" xfId="4" applyFont="1" applyFill="1" applyAlignment="1">
      <alignment vertical="top" wrapText="1"/>
    </xf>
    <xf numFmtId="0" fontId="13" fillId="17" borderId="0" xfId="4" applyFont="1" applyFill="1" applyAlignment="1">
      <alignment vertical="top" wrapText="1"/>
    </xf>
    <xf numFmtId="0" fontId="23" fillId="18" borderId="0" xfId="4" applyFont="1" applyFill="1" applyAlignment="1">
      <alignment horizontal="left" vertical="top" wrapText="1" indent="1"/>
    </xf>
    <xf numFmtId="0" fontId="24" fillId="18" borderId="0" xfId="4" applyFont="1" applyFill="1" applyAlignment="1">
      <alignment horizontal="left" vertical="center" wrapText="1" indent="1"/>
    </xf>
    <xf numFmtId="0" fontId="22" fillId="14" borderId="0" xfId="4" applyFont="1" applyFill="1" applyAlignment="1">
      <alignment vertical="top" wrapText="1"/>
    </xf>
    <xf numFmtId="0" fontId="13" fillId="14" borderId="0" xfId="4" applyFont="1" applyFill="1" applyAlignment="1">
      <alignment vertical="center" wrapText="1"/>
    </xf>
    <xf numFmtId="0" fontId="26" fillId="17" borderId="0" xfId="4" applyFont="1" applyFill="1" applyAlignment="1">
      <alignment vertical="top" wrapText="1"/>
    </xf>
    <xf numFmtId="0" fontId="21" fillId="19" borderId="0" xfId="4" applyFont="1" applyFill="1" applyAlignment="1" applyProtection="1">
      <alignment horizontal="center" vertical="center" wrapText="1"/>
      <protection locked="0"/>
    </xf>
    <xf numFmtId="44" fontId="13" fillId="17" borderId="0" xfId="4" applyNumberFormat="1" applyFont="1" applyFill="1" applyAlignment="1">
      <alignment vertical="top" wrapText="1"/>
    </xf>
    <xf numFmtId="0" fontId="27" fillId="18" borderId="0" xfId="4" applyFont="1" applyFill="1" applyAlignment="1">
      <alignment horizontal="center" vertical="top" wrapText="1"/>
    </xf>
    <xf numFmtId="0" fontId="13" fillId="18" borderId="0" xfId="4" applyFont="1" applyFill="1" applyAlignment="1">
      <alignment horizontal="left" vertical="top" wrapText="1" indent="1"/>
    </xf>
    <xf numFmtId="0" fontId="21" fillId="19" borderId="0" xfId="2" applyNumberFormat="1" applyFont="1" applyFill="1" applyBorder="1" applyAlignment="1" applyProtection="1">
      <alignment horizontal="center" vertical="center" wrapText="1"/>
      <protection locked="0"/>
    </xf>
    <xf numFmtId="0" fontId="13" fillId="17" borderId="0" xfId="4" applyFont="1" applyFill="1" applyAlignment="1">
      <alignment vertical="center" wrapText="1"/>
    </xf>
    <xf numFmtId="0" fontId="27" fillId="18" borderId="0" xfId="4" applyFont="1" applyFill="1" applyAlignment="1">
      <alignment vertical="top" wrapText="1"/>
    </xf>
    <xf numFmtId="0" fontId="13" fillId="18" borderId="0" xfId="4" applyFont="1" applyFill="1" applyAlignment="1">
      <alignment horizontal="left" vertical="center" wrapText="1" indent="1"/>
    </xf>
    <xf numFmtId="166" fontId="21" fillId="19" borderId="0" xfId="2" applyNumberFormat="1" applyFont="1" applyFill="1" applyBorder="1" applyAlignment="1" applyProtection="1">
      <alignment horizontal="center" vertical="center" wrapText="1"/>
      <protection locked="0"/>
    </xf>
    <xf numFmtId="0" fontId="18" fillId="14" borderId="0" xfId="4" applyFont="1" applyFill="1" applyAlignment="1">
      <alignment vertical="center" wrapText="1"/>
    </xf>
    <xf numFmtId="0" fontId="27" fillId="18" borderId="0" xfId="4" applyFont="1" applyFill="1" applyAlignment="1">
      <alignment horizontal="center" vertical="center" wrapText="1"/>
    </xf>
    <xf numFmtId="0" fontId="18" fillId="18" borderId="0" xfId="4" applyFont="1" applyFill="1" applyAlignment="1">
      <alignment horizontal="left" wrapText="1" indent="1"/>
    </xf>
    <xf numFmtId="0" fontId="28" fillId="18" borderId="0" xfId="4" applyFont="1" applyFill="1" applyAlignment="1">
      <alignment vertical="top" wrapText="1"/>
    </xf>
    <xf numFmtId="167" fontId="21" fillId="19" borderId="0" xfId="2" applyNumberFormat="1" applyFont="1" applyFill="1" applyBorder="1" applyAlignment="1" applyProtection="1">
      <alignment horizontal="center" vertical="center" wrapText="1"/>
      <protection locked="0"/>
    </xf>
    <xf numFmtId="0" fontId="11" fillId="0" borderId="0" xfId="4" applyAlignment="1">
      <alignment vertical="center" wrapText="1"/>
    </xf>
    <xf numFmtId="0" fontId="11" fillId="14" borderId="0" xfId="4" applyFill="1" applyAlignment="1">
      <alignment vertical="center" wrapText="1"/>
    </xf>
    <xf numFmtId="0" fontId="11" fillId="17" borderId="0" xfId="4" applyFill="1" applyAlignment="1">
      <alignment vertical="center" wrapText="1"/>
    </xf>
    <xf numFmtId="14" fontId="21" fillId="19" borderId="0" xfId="4" applyNumberFormat="1" applyFont="1" applyFill="1" applyAlignment="1" applyProtection="1">
      <alignment horizontal="center" vertical="center" wrapText="1"/>
      <protection locked="0"/>
    </xf>
    <xf numFmtId="0" fontId="20" fillId="18" borderId="0" xfId="4" applyFont="1" applyFill="1" applyAlignment="1">
      <alignment horizontal="left" vertical="center" wrapText="1" indent="1"/>
    </xf>
    <xf numFmtId="0" fontId="30" fillId="14" borderId="0" xfId="4" applyFont="1" applyFill="1" applyAlignment="1">
      <alignment vertical="center" wrapText="1"/>
    </xf>
    <xf numFmtId="0" fontId="32" fillId="0" borderId="0" xfId="4" applyFont="1" applyAlignment="1">
      <alignment vertical="center" wrapText="1"/>
    </xf>
    <xf numFmtId="0" fontId="32" fillId="14" borderId="0" xfId="4" applyFont="1" applyFill="1" applyAlignment="1">
      <alignment vertical="center" wrapText="1"/>
    </xf>
    <xf numFmtId="0" fontId="32" fillId="17" borderId="0" xfId="4" applyFont="1" applyFill="1" applyAlignment="1">
      <alignment vertical="center" wrapText="1"/>
    </xf>
    <xf numFmtId="0" fontId="33" fillId="17" borderId="0" xfId="4" applyFont="1" applyFill="1" applyAlignment="1">
      <alignment horizontal="left" vertical="center" wrapText="1"/>
    </xf>
    <xf numFmtId="0" fontId="34" fillId="17" borderId="0" xfId="4" applyFont="1" applyFill="1" applyAlignment="1">
      <alignment horizontal="left" vertical="center" wrapText="1"/>
    </xf>
    <xf numFmtId="0" fontId="36" fillId="17" borderId="0" xfId="4" applyFont="1" applyFill="1" applyAlignment="1">
      <alignment horizontal="left" vertical="top" wrapText="1"/>
    </xf>
    <xf numFmtId="0" fontId="11" fillId="18" borderId="0" xfId="4" applyFill="1" applyAlignment="1">
      <alignment vertical="top" wrapText="1"/>
    </xf>
    <xf numFmtId="0" fontId="11" fillId="18" borderId="0" xfId="4" applyFill="1" applyAlignment="1">
      <alignment horizontal="center" vertical="top" wrapText="1"/>
    </xf>
    <xf numFmtId="0" fontId="10" fillId="18" borderId="0" xfId="4" applyFont="1" applyFill="1" applyAlignment="1">
      <alignment vertical="top" wrapText="1"/>
    </xf>
    <xf numFmtId="0" fontId="0" fillId="13" borderId="1" xfId="0" applyFill="1" applyBorder="1" applyAlignment="1">
      <alignment horizontal="center"/>
    </xf>
    <xf numFmtId="0" fontId="20" fillId="0" borderId="0" xfId="4" applyFont="1" applyAlignment="1">
      <alignment horizontal="left" vertical="center" wrapText="1" indent="1"/>
    </xf>
    <xf numFmtId="0" fontId="0" fillId="0" borderId="0" xfId="0" quotePrefix="1"/>
    <xf numFmtId="0" fontId="0" fillId="0" borderId="0" xfId="0" quotePrefix="1" applyAlignment="1">
      <alignment horizontal="center" wrapText="1"/>
    </xf>
    <xf numFmtId="44" fontId="21" fillId="18" borderId="0" xfId="4" applyNumberFormat="1" applyFont="1" applyFill="1" applyAlignment="1">
      <alignment horizontal="center" vertical="center" wrapText="1"/>
    </xf>
    <xf numFmtId="166" fontId="21" fillId="18" borderId="0" xfId="4" applyNumberFormat="1" applyFont="1" applyFill="1" applyAlignment="1">
      <alignment horizontal="center" vertical="center" wrapText="1"/>
    </xf>
    <xf numFmtId="14" fontId="0" fillId="0" borderId="0" xfId="0" applyNumberFormat="1"/>
    <xf numFmtId="0" fontId="0" fillId="18" borderId="0" xfId="0" applyFill="1"/>
    <xf numFmtId="0" fontId="13" fillId="17" borderId="0" xfId="4" applyFont="1" applyFill="1" applyAlignment="1">
      <alignment horizontal="left" vertical="top" wrapText="1" indent="1"/>
    </xf>
    <xf numFmtId="0" fontId="31" fillId="18" borderId="0" xfId="4" applyFont="1" applyFill="1" applyAlignment="1">
      <alignment horizontal="left" vertical="center" wrapText="1" indent="1"/>
    </xf>
    <xf numFmtId="0" fontId="33" fillId="17" borderId="0" xfId="4" applyFont="1" applyFill="1" applyAlignment="1">
      <alignment horizontal="left" vertical="center" wrapText="1"/>
    </xf>
    <xf numFmtId="0" fontId="37" fillId="18" borderId="0" xfId="4" applyFont="1" applyFill="1" applyAlignment="1">
      <alignment horizontal="left" vertical="top" wrapText="1"/>
    </xf>
    <xf numFmtId="0" fontId="13" fillId="16" borderId="0" xfId="4" applyFont="1" applyFill="1" applyAlignment="1">
      <alignment vertical="top" wrapText="1"/>
    </xf>
    <xf numFmtId="0" fontId="15" fillId="17" borderId="0" xfId="4" applyFont="1" applyFill="1" applyAlignment="1">
      <alignment vertical="center" wrapText="1"/>
    </xf>
    <xf numFmtId="0" fontId="15" fillId="14" borderId="0" xfId="4" applyFont="1" applyFill="1" applyAlignment="1">
      <alignment vertical="center" wrapText="1"/>
    </xf>
    <xf numFmtId="0" fontId="30" fillId="17" borderId="0" xfId="4" applyFont="1" applyFill="1" applyAlignment="1">
      <alignment horizontal="left" vertical="center" wrapText="1"/>
    </xf>
    <xf numFmtId="0" fontId="14" fillId="15" borderId="0" xfId="4" applyFont="1" applyFill="1" applyAlignment="1">
      <alignment vertical="top" wrapText="1"/>
    </xf>
    <xf numFmtId="0" fontId="13" fillId="14" borderId="0" xfId="4" applyFont="1" applyFill="1" applyAlignment="1">
      <alignment vertical="top" wrapText="1"/>
    </xf>
    <xf numFmtId="0" fontId="13" fillId="17" borderId="0" xfId="4" applyFont="1" applyFill="1" applyAlignment="1">
      <alignment vertical="top" wrapText="1"/>
    </xf>
    <xf numFmtId="0" fontId="29" fillId="17" borderId="0" xfId="4" applyFont="1" applyFill="1" applyAlignment="1">
      <alignment vertical="center" wrapText="1"/>
    </xf>
    <xf numFmtId="0" fontId="29" fillId="14" borderId="0" xfId="4" applyFont="1" applyFill="1" applyAlignment="1">
      <alignment vertical="center" wrapText="1"/>
    </xf>
    <xf numFmtId="0" fontId="24" fillId="17" borderId="0" xfId="4" applyFont="1" applyFill="1" applyAlignment="1">
      <alignment vertical="top" wrapText="1"/>
    </xf>
    <xf numFmtId="0" fontId="13" fillId="17" borderId="0" xfId="4" applyFont="1" applyFill="1" applyAlignment="1">
      <alignment vertical="center" wrapText="1"/>
    </xf>
    <xf numFmtId="0" fontId="7" fillId="10"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6" borderId="4" xfId="0"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2" xfId="4" xr:uid="{FDADA380-DBBD-45F2-80C3-6920D2E22E92}"/>
    <cellStyle name="Normal 7" xfId="3" xr:uid="{C3E6A092-9CE1-4A3A-A33F-9BA055FEF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2599363</xdr:colOff>
      <xdr:row>0</xdr:row>
      <xdr:rowOff>0</xdr:rowOff>
    </xdr:from>
    <xdr:to>
      <xdr:col>10</xdr:col>
      <xdr:colOff>351118</xdr:colOff>
      <xdr:row>1</xdr:row>
      <xdr:rowOff>984797</xdr:rowOff>
    </xdr:to>
    <xdr:pic>
      <xdr:nvPicPr>
        <xdr:cNvPr id="4" name="Picture 3">
          <a:extLst>
            <a:ext uri="{FF2B5EF4-FFF2-40B4-BE49-F238E27FC236}">
              <a16:creationId xmlns:a16="http://schemas.microsoft.com/office/drawing/2014/main" id="{592033DA-6E5F-44D5-BDF0-503DCB887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9563" y="0"/>
          <a:ext cx="3163262" cy="11467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06B17-D787-42D3-8D01-EBA4E9BFF359}">
  <sheetPr codeName="Sheet12">
    <tabColor rgb="FFFFC000"/>
    <pageSetUpPr fitToPage="1"/>
  </sheetPr>
  <dimension ref="A1:N31"/>
  <sheetViews>
    <sheetView tabSelected="1" zoomScale="85" zoomScaleNormal="85" workbookViewId="0">
      <selection activeCell="C9" sqref="C9"/>
    </sheetView>
  </sheetViews>
  <sheetFormatPr defaultColWidth="0" defaultRowHeight="14" zeroHeight="1" x14ac:dyDescent="0.3"/>
  <cols>
    <col min="1" max="1" width="3" style="74" customWidth="1"/>
    <col min="2" max="2" width="72.453125" style="74" customWidth="1"/>
    <col min="3" max="3" width="22" style="74" customWidth="1"/>
    <col min="4" max="4" width="8.1796875" style="74" customWidth="1"/>
    <col min="5" max="5" width="58.453125" style="74" customWidth="1"/>
    <col min="6" max="6" width="21.54296875" style="74" customWidth="1"/>
    <col min="7" max="7" width="6.1796875" style="74" customWidth="1"/>
    <col min="8" max="8" width="3.54296875" style="74" customWidth="1"/>
    <col min="9" max="9" width="58.453125" style="74" customWidth="1"/>
    <col min="10" max="10" width="22.81640625" style="74" customWidth="1"/>
    <col min="11" max="11" width="6.1796875" style="74" customWidth="1"/>
    <col min="12" max="14" width="0" style="74" hidden="1" customWidth="1"/>
    <col min="15" max="16384" width="10.453125" style="74" hidden="1"/>
  </cols>
  <sheetData>
    <row r="1" spans="1:11" ht="13.4" customHeight="1" x14ac:dyDescent="0.3">
      <c r="A1" s="120"/>
      <c r="B1" s="122"/>
      <c r="C1" s="121"/>
      <c r="D1" s="120"/>
      <c r="E1" s="120"/>
      <c r="F1" s="120"/>
      <c r="G1" s="120"/>
      <c r="H1" s="120"/>
      <c r="I1" s="120"/>
      <c r="J1" s="120"/>
      <c r="K1" s="120"/>
    </row>
    <row r="2" spans="1:11" ht="81" customHeight="1" x14ac:dyDescent="0.3">
      <c r="A2" s="120"/>
      <c r="B2" s="134" t="s">
        <v>0</v>
      </c>
      <c r="C2" s="134"/>
      <c r="D2" s="134"/>
      <c r="E2" s="134"/>
      <c r="F2" s="134"/>
      <c r="G2" s="134"/>
      <c r="H2" s="120"/>
      <c r="I2" s="120"/>
      <c r="J2" s="120"/>
      <c r="K2" s="120"/>
    </row>
    <row r="3" spans="1:11" ht="8.9" customHeight="1" x14ac:dyDescent="0.3">
      <c r="A3" s="85"/>
      <c r="B3" s="119"/>
      <c r="C3" s="119"/>
      <c r="D3" s="85"/>
      <c r="E3" s="85"/>
      <c r="F3" s="85"/>
      <c r="G3" s="85"/>
      <c r="H3" s="84"/>
      <c r="I3" s="84"/>
      <c r="J3" s="84"/>
      <c r="K3" s="84"/>
    </row>
    <row r="4" spans="1:11" ht="202.75" customHeight="1" x14ac:dyDescent="0.3">
      <c r="A4" s="85"/>
      <c r="B4" s="133" t="s">
        <v>1</v>
      </c>
      <c r="C4" s="133"/>
      <c r="D4" s="133"/>
      <c r="E4" s="133"/>
      <c r="F4" s="133"/>
      <c r="G4" s="85"/>
      <c r="H4" s="84"/>
      <c r="I4" s="84"/>
      <c r="J4" s="84"/>
      <c r="K4" s="84"/>
    </row>
    <row r="5" spans="1:11" s="114" customFormat="1" ht="31.4" customHeight="1" x14ac:dyDescent="0.35">
      <c r="A5" s="116"/>
      <c r="B5" s="118" t="s">
        <v>2</v>
      </c>
      <c r="C5" s="117"/>
      <c r="D5" s="116"/>
      <c r="E5" s="136" t="s">
        <v>3</v>
      </c>
      <c r="F5" s="136"/>
      <c r="G5" s="116"/>
      <c r="H5" s="115"/>
      <c r="I5" s="137" t="s">
        <v>4</v>
      </c>
      <c r="J5" s="137"/>
      <c r="K5" s="115"/>
    </row>
    <row r="6" spans="1:11" ht="32.15" customHeight="1" x14ac:dyDescent="0.3">
      <c r="A6" s="85"/>
      <c r="B6" s="132" t="s">
        <v>5</v>
      </c>
      <c r="C6" s="132"/>
      <c r="D6" s="85"/>
      <c r="E6" s="138" t="s">
        <v>6</v>
      </c>
      <c r="F6" s="138"/>
      <c r="G6" s="110"/>
      <c r="H6" s="109"/>
      <c r="I6" s="113" t="s">
        <v>7</v>
      </c>
      <c r="J6" s="84"/>
      <c r="K6" s="84"/>
    </row>
    <row r="7" spans="1:11" ht="125.15" customHeight="1" x14ac:dyDescent="0.35">
      <c r="A7" s="85"/>
      <c r="B7" s="130"/>
      <c r="C7" s="130"/>
      <c r="D7" s="85"/>
      <c r="E7" s="141" t="s">
        <v>8</v>
      </c>
      <c r="F7" s="141"/>
      <c r="G7" s="85"/>
      <c r="H7" s="84"/>
      <c r="I7" s="140" t="s">
        <v>9</v>
      </c>
      <c r="J7" s="140"/>
      <c r="K7" s="84"/>
    </row>
    <row r="8" spans="1:11" s="108" customFormat="1" ht="49" customHeight="1" x14ac:dyDescent="0.35">
      <c r="A8" s="110"/>
      <c r="B8" s="130"/>
      <c r="C8" s="130"/>
      <c r="D8" s="110"/>
      <c r="E8" s="142" t="s">
        <v>10</v>
      </c>
      <c r="F8" s="142"/>
      <c r="G8" s="110"/>
      <c r="H8" s="109"/>
      <c r="I8" s="143" t="s">
        <v>11</v>
      </c>
      <c r="J8" s="143"/>
      <c r="K8" s="109"/>
    </row>
    <row r="9" spans="1:11" ht="35.15" customHeight="1" x14ac:dyDescent="0.3">
      <c r="A9" s="110"/>
      <c r="B9" s="112" t="s">
        <v>12</v>
      </c>
      <c r="C9" s="111"/>
      <c r="D9" s="110"/>
      <c r="E9" s="145" t="s">
        <v>13</v>
      </c>
      <c r="F9" s="145"/>
      <c r="G9" s="85"/>
      <c r="H9" s="109"/>
      <c r="I9" s="103" t="s">
        <v>14</v>
      </c>
      <c r="J9" s="102"/>
      <c r="K9" s="84"/>
    </row>
    <row r="10" spans="1:11" ht="39" customHeight="1" x14ac:dyDescent="0.3">
      <c r="A10" s="85"/>
      <c r="B10" s="101" t="s">
        <v>15</v>
      </c>
      <c r="C10" s="107"/>
      <c r="D10" s="85"/>
      <c r="E10" s="144" t="str">
        <f>Calculations!C19</f>
        <v>15% x Salary x Future Service to age 65</v>
      </c>
      <c r="F10" s="144"/>
      <c r="G10" s="85"/>
      <c r="H10" s="84"/>
      <c r="I10" s="103" t="s">
        <v>16</v>
      </c>
      <c r="J10" s="102"/>
      <c r="K10" s="84"/>
    </row>
    <row r="11" spans="1:11" ht="32.15" customHeight="1" x14ac:dyDescent="0.3">
      <c r="A11" s="85"/>
      <c r="B11" s="101" t="s">
        <v>17</v>
      </c>
      <c r="C11" s="94"/>
      <c r="D11" s="85"/>
      <c r="E11" s="99" t="s">
        <v>19</v>
      </c>
      <c r="F11" s="128">
        <f ca="1">Calculations!C56</f>
        <v>0</v>
      </c>
      <c r="G11" s="85" t="str">
        <f ca="1">IF(E13&lt;&gt;"","^","")</f>
        <v>^</v>
      </c>
      <c r="H11" s="84"/>
      <c r="I11" s="92" t="s">
        <v>20</v>
      </c>
      <c r="J11" s="127">
        <f ca="1">Calculations!C62</f>
        <v>0</v>
      </c>
      <c r="K11" s="84" t="str">
        <f ca="1">IF(Calculations!$C$70,"§","")</f>
        <v>§</v>
      </c>
    </row>
    <row r="12" spans="1:11" ht="34" customHeight="1" x14ac:dyDescent="0.35">
      <c r="A12" s="85"/>
      <c r="B12" s="124"/>
      <c r="C12" s="130"/>
      <c r="D12" s="85"/>
      <c r="E12" s="99" t="s">
        <v>21</v>
      </c>
      <c r="F12" s="127">
        <f ca="1">Calculations!C57</f>
        <v>0</v>
      </c>
      <c r="G12" s="85"/>
      <c r="H12" s="84"/>
      <c r="I12" s="92" t="s">
        <v>22</v>
      </c>
      <c r="J12" s="127">
        <f ca="1">Calculations!D62</f>
        <v>0</v>
      </c>
      <c r="K12" s="84" t="str">
        <f ca="1">IF(Calculations!$D$70,"§","")</f>
        <v>§</v>
      </c>
    </row>
    <row r="13" spans="1:11" ht="50.15" customHeight="1" x14ac:dyDescent="0.3">
      <c r="A13" s="85"/>
      <c r="B13" s="97"/>
      <c r="C13" s="106"/>
      <c r="D13" s="85"/>
      <c r="E13" s="87" t="str">
        <f ca="1">Calculations!$C$58</f>
        <v>^ Basic Death cover ends at age 65.</v>
      </c>
      <c r="F13" s="95"/>
      <c r="G13" s="85"/>
      <c r="H13" s="84"/>
      <c r="I13" s="91" t="str">
        <f ca="1">IF(OR(Calculations!C70:D70),"§ Death cover is available from age 15 up to age 70. 
TPD cover is available from age 15 up to age 65.","")</f>
        <v>§ Death cover is available from age 15 up to age 70. 
TPD cover is available from age 15 up to age 65.</v>
      </c>
      <c r="J13" s="84"/>
      <c r="K13" s="84"/>
    </row>
    <row r="14" spans="1:11" ht="20.149999999999999" customHeight="1" x14ac:dyDescent="0.3">
      <c r="A14" s="85"/>
      <c r="B14" s="105" t="s">
        <v>23</v>
      </c>
      <c r="C14" s="100"/>
      <c r="D14" s="85"/>
      <c r="E14" s="88"/>
      <c r="F14" s="88"/>
      <c r="G14" s="85"/>
      <c r="H14" s="84"/>
      <c r="I14" s="84"/>
      <c r="J14" s="84"/>
      <c r="K14" s="84"/>
    </row>
    <row r="15" spans="1:11" ht="26.15" customHeight="1" x14ac:dyDescent="0.3">
      <c r="A15" s="85"/>
      <c r="B15" s="101" t="s">
        <v>24</v>
      </c>
      <c r="C15" s="104" t="str">
        <f>Calculations!C15</f>
        <v>Professional</v>
      </c>
      <c r="D15" s="85"/>
      <c r="E15" s="99" t="s">
        <v>25</v>
      </c>
      <c r="F15" s="128">
        <f ca="1">Calculations!D56</f>
        <v>0</v>
      </c>
      <c r="G15" s="85" t="str">
        <f ca="1">IF(E17&lt;&gt;"","†","")</f>
        <v>†</v>
      </c>
      <c r="H15" s="84"/>
      <c r="I15" s="103" t="s">
        <v>26</v>
      </c>
      <c r="J15" s="102"/>
      <c r="K15" s="84"/>
    </row>
    <row r="16" spans="1:11" ht="38.15" customHeight="1" x14ac:dyDescent="0.3">
      <c r="A16" s="85"/>
      <c r="B16" s="101" t="s">
        <v>27</v>
      </c>
      <c r="C16" s="100"/>
      <c r="D16" s="85"/>
      <c r="E16" s="99" t="s">
        <v>21</v>
      </c>
      <c r="F16" s="127">
        <f ca="1">Calculations!D57</f>
        <v>0</v>
      </c>
      <c r="G16" s="85"/>
      <c r="H16" s="84"/>
      <c r="I16" s="92" t="s">
        <v>28</v>
      </c>
      <c r="J16" s="98"/>
      <c r="K16" s="84"/>
    </row>
    <row r="17" spans="1:11" ht="50.15" customHeight="1" x14ac:dyDescent="0.3">
      <c r="A17" s="85"/>
      <c r="B17" s="97" t="s">
        <v>29</v>
      </c>
      <c r="C17" s="96" t="str">
        <f>Calculations!C16</f>
        <v>Professional</v>
      </c>
      <c r="D17" s="85"/>
      <c r="E17" s="87" t="str">
        <f ca="1">Calculations!$D$58</f>
        <v>† Basic TPD cover ends at age 65.</v>
      </c>
      <c r="F17" s="95"/>
      <c r="G17" s="85"/>
      <c r="H17" s="84"/>
      <c r="I17" s="92" t="s">
        <v>30</v>
      </c>
      <c r="J17" s="94"/>
      <c r="K17" s="84"/>
    </row>
    <row r="18" spans="1:11" ht="39" customHeight="1" x14ac:dyDescent="0.3">
      <c r="A18" s="85"/>
      <c r="B18" s="85"/>
      <c r="C18" s="85"/>
      <c r="D18" s="85"/>
      <c r="E18" s="93" t="s">
        <v>31</v>
      </c>
      <c r="F18" s="85"/>
      <c r="G18" s="85"/>
      <c r="H18" s="84"/>
      <c r="I18" s="92" t="s">
        <v>32</v>
      </c>
      <c r="J18" s="127">
        <f ca="1">Calculations!E62</f>
        <v>0</v>
      </c>
      <c r="K18" s="84" t="str">
        <f ca="1">IF(Calculations!$E$70,"#","")</f>
        <v>#</v>
      </c>
    </row>
    <row r="19" spans="1:11" ht="48.65" customHeight="1" x14ac:dyDescent="0.3">
      <c r="A19" s="85"/>
      <c r="B19" s="131" t="s">
        <v>33</v>
      </c>
      <c r="C19" s="131"/>
      <c r="D19" s="85"/>
      <c r="E19" s="141" t="s">
        <v>34</v>
      </c>
      <c r="F19" s="141"/>
      <c r="G19" s="85"/>
      <c r="H19" s="84"/>
      <c r="I19" s="91" t="str">
        <f ca="1">IF(OR(Calculations!E70),"# Income Protection is available from age 15. 
Cover ends at age 70 if your benefit payment period is up to 2 years. 
Cover ends at age 65 if your benefit payment period is up to 5 years or up to age 65.","")</f>
        <v># Income Protection is available from age 15. 
Cover ends at age 70 if your benefit payment period is up to 2 years. 
Cover ends at age 65 if your benefit payment period is up to 5 years or up to age 65.</v>
      </c>
      <c r="J19" s="84"/>
      <c r="K19" s="84"/>
    </row>
    <row r="20" spans="1:11" ht="35.15" customHeight="1" x14ac:dyDescent="0.3">
      <c r="A20" s="85"/>
      <c r="B20" s="131" t="s">
        <v>35</v>
      </c>
      <c r="C20" s="131"/>
      <c r="D20" s="85"/>
      <c r="E20" s="90" t="str">
        <f>Calculations!E19</f>
        <v>85% x Salary</v>
      </c>
      <c r="F20" s="85"/>
      <c r="G20" s="85"/>
      <c r="H20" s="84"/>
      <c r="I20" s="140" t="s">
        <v>36</v>
      </c>
      <c r="J20" s="140"/>
      <c r="K20" s="84"/>
    </row>
    <row r="21" spans="1:11" ht="38.15" customHeight="1" x14ac:dyDescent="0.3">
      <c r="A21" s="85"/>
      <c r="B21" s="85"/>
      <c r="C21" s="85"/>
      <c r="D21" s="85"/>
      <c r="E21" s="89" t="str">
        <f>IF(E20="No basic cover","","You have a waiting period of "&amp;Calculations!E26&amp;" days, and the monthly benefit payment period is up to "&amp;IF(Calculations!E25=65,"age 65.",Calculations!E25&amp;" years."))</f>
        <v>You have a waiting period of 60 days, and the monthly benefit payment period is up to 5 years.</v>
      </c>
      <c r="F21" s="85"/>
      <c r="G21" s="85"/>
      <c r="H21" s="84"/>
      <c r="I21" s="84"/>
      <c r="J21" s="84"/>
      <c r="K21" s="84"/>
    </row>
    <row r="22" spans="1:11" x14ac:dyDescent="0.3">
      <c r="A22" s="85"/>
      <c r="B22" s="85"/>
      <c r="C22" s="85"/>
      <c r="D22" s="85"/>
      <c r="E22" s="85"/>
      <c r="F22" s="85"/>
      <c r="G22" s="85"/>
      <c r="H22" s="84"/>
      <c r="I22" s="84"/>
      <c r="J22" s="84"/>
      <c r="K22" s="84"/>
    </row>
    <row r="23" spans="1:11" ht="18" x14ac:dyDescent="0.3">
      <c r="A23" s="85"/>
      <c r="B23" s="85" t="s">
        <v>37</v>
      </c>
      <c r="C23" s="85"/>
      <c r="D23" s="85"/>
      <c r="E23" s="88" t="s">
        <v>38</v>
      </c>
      <c r="F23" s="127">
        <f ca="1">Calculations!E56</f>
        <v>0</v>
      </c>
      <c r="G23" s="85" t="str">
        <f ca="1">IF(E25&lt;&gt;"","‡","")</f>
        <v>‡</v>
      </c>
      <c r="H23" s="84"/>
      <c r="I23" s="84"/>
      <c r="J23" s="84"/>
      <c r="K23" s="84"/>
    </row>
    <row r="24" spans="1:11" ht="25" customHeight="1" x14ac:dyDescent="0.3">
      <c r="A24" s="85"/>
      <c r="B24" s="85"/>
      <c r="C24" s="85"/>
      <c r="D24" s="85"/>
      <c r="E24" s="88" t="s">
        <v>21</v>
      </c>
      <c r="F24" s="127">
        <f ca="1">Calculations!E57</f>
        <v>0</v>
      </c>
      <c r="G24" s="85"/>
      <c r="H24" s="84"/>
      <c r="I24" s="84"/>
      <c r="J24" s="84"/>
      <c r="K24" s="84"/>
    </row>
    <row r="25" spans="1:11" ht="50.15" customHeight="1" x14ac:dyDescent="0.3">
      <c r="A25" s="85"/>
      <c r="B25" s="85"/>
      <c r="C25" s="85"/>
      <c r="D25" s="85"/>
      <c r="E25" s="87" t="str">
        <f ca="1">Calculations!$E$58</f>
        <v>‡ Basic Income Protection ends at age 65.</v>
      </c>
      <c r="F25" s="86"/>
      <c r="G25" s="85"/>
      <c r="H25" s="84"/>
      <c r="I25" s="84"/>
      <c r="J25" s="84"/>
      <c r="K25" s="84"/>
    </row>
    <row r="26" spans="1:11" ht="14.15" customHeight="1" x14ac:dyDescent="0.3">
      <c r="A26" s="78"/>
      <c r="B26" s="83"/>
      <c r="C26" s="78"/>
      <c r="D26" s="78"/>
      <c r="E26" s="82"/>
      <c r="F26" s="78"/>
      <c r="G26" s="78"/>
      <c r="H26" s="75"/>
      <c r="I26" s="75"/>
      <c r="J26" s="75"/>
      <c r="K26" s="75"/>
    </row>
    <row r="27" spans="1:11" ht="60.65" customHeight="1" x14ac:dyDescent="0.3">
      <c r="A27" s="78"/>
      <c r="B27" s="135" t="s">
        <v>200</v>
      </c>
      <c r="C27" s="135"/>
      <c r="D27" s="135"/>
      <c r="E27" s="135"/>
      <c r="F27" s="135"/>
      <c r="G27" s="78"/>
      <c r="H27" s="75"/>
      <c r="I27" s="81" t="s">
        <v>39</v>
      </c>
      <c r="J27" s="75"/>
      <c r="K27" s="75"/>
    </row>
    <row r="28" spans="1:11" ht="35.15" customHeight="1" x14ac:dyDescent="0.3">
      <c r="A28" s="78"/>
      <c r="B28" s="135"/>
      <c r="C28" s="135"/>
      <c r="D28" s="135"/>
      <c r="E28" s="135"/>
      <c r="F28" s="135"/>
      <c r="G28" s="78"/>
      <c r="H28" s="75"/>
      <c r="I28" s="80" t="s">
        <v>40</v>
      </c>
      <c r="J28" s="79"/>
      <c r="K28" s="75"/>
    </row>
    <row r="29" spans="1:11" ht="36" customHeight="1" x14ac:dyDescent="0.3">
      <c r="A29" s="78"/>
      <c r="B29" s="135"/>
      <c r="C29" s="135"/>
      <c r="D29" s="135"/>
      <c r="E29" s="135"/>
      <c r="F29" s="135"/>
      <c r="G29" s="78"/>
      <c r="H29" s="75"/>
      <c r="I29" s="139" t="s">
        <v>41</v>
      </c>
      <c r="J29" s="139"/>
      <c r="K29" s="75"/>
    </row>
    <row r="30" spans="1:11" ht="37" customHeight="1" x14ac:dyDescent="0.3">
      <c r="A30" s="78"/>
      <c r="B30" s="135"/>
      <c r="C30" s="135"/>
      <c r="D30" s="135"/>
      <c r="E30" s="135"/>
      <c r="F30" s="135"/>
      <c r="G30" s="78"/>
      <c r="H30" s="75"/>
      <c r="I30" s="139" t="s">
        <v>42</v>
      </c>
      <c r="J30" s="139"/>
      <c r="K30" s="75"/>
    </row>
    <row r="31" spans="1:11" ht="159" customHeight="1" x14ac:dyDescent="0.3">
      <c r="A31" s="78"/>
      <c r="B31" s="135"/>
      <c r="C31" s="135"/>
      <c r="D31" s="135"/>
      <c r="E31" s="135"/>
      <c r="F31" s="135"/>
      <c r="G31" s="78"/>
      <c r="H31" s="75"/>
      <c r="I31" s="77"/>
      <c r="J31" s="76"/>
      <c r="K31" s="75"/>
    </row>
  </sheetData>
  <sheetProtection algorithmName="SHA-512" hashValue="fZJAs28Zo6y9lj6joeweTHy0ObQjthA4rVqHs+/oz4a+EHKeQ+vLbR5GWWmGekXC3/j1uEiT96owOk83ta4aLA==" saltValue="cAtsxdRiCeVyRACiCgHBgA==" spinCount="100000" sheet="1" objects="1" scenarios="1" selectLockedCells="1"/>
  <mergeCells count="19">
    <mergeCell ref="I5:J5"/>
    <mergeCell ref="E6:F6"/>
    <mergeCell ref="I29:J29"/>
    <mergeCell ref="I30:J30"/>
    <mergeCell ref="I7:J7"/>
    <mergeCell ref="E7:F7"/>
    <mergeCell ref="E8:F8"/>
    <mergeCell ref="I8:J8"/>
    <mergeCell ref="I20:J20"/>
    <mergeCell ref="E19:F19"/>
    <mergeCell ref="E10:F10"/>
    <mergeCell ref="E9:F9"/>
    <mergeCell ref="B20:C20"/>
    <mergeCell ref="B6:C6"/>
    <mergeCell ref="B4:F4"/>
    <mergeCell ref="B2:G2"/>
    <mergeCell ref="B27:F31"/>
    <mergeCell ref="B19:C19"/>
    <mergeCell ref="E5:F5"/>
  </mergeCells>
  <dataValidations count="5">
    <dataValidation type="custom" allowBlank="1" showInputMessage="1" showErrorMessage="1" errorTitle="IP Cover" error="Please input a multiple of $100._x000a__x000a_Maximum IP Cover is $30,000." sqref="J15" xr:uid="{1D12B361-4773-49BB-A78A-CB1D11545E65}">
      <formula1>AND(MOD(J15,100)=0,J15&lt;=30000)</formula1>
    </dataValidation>
    <dataValidation type="custom" allowBlank="1" showInputMessage="1" showErrorMessage="1" errorTitle="Death Cover" error="Please input a multiple of $1,000." sqref="J9" xr:uid="{4C7B15E3-4B54-40AF-99A8-0E4B42E39016}">
      <formula1>MOD(J9,1000)=0</formula1>
    </dataValidation>
    <dataValidation type="list" allowBlank="1" showInputMessage="1" showErrorMessage="1" sqref="C11" xr:uid="{D95A60FB-44BD-4E9D-833F-2C4C46F553BB}">
      <formula1>"Blue Collar,White Collar,Professional"</formula1>
    </dataValidation>
    <dataValidation type="list" allowBlank="1" showInputMessage="1" showErrorMessage="1" sqref="J16" xr:uid="{F50077F0-8D97-4BD5-B293-883F60EF6F7D}">
      <formula1>"Up to 2 years, Up to 5 years, Up to age 65"</formula1>
    </dataValidation>
    <dataValidation type="custom" allowBlank="1" showInputMessage="1" showErrorMessage="1" errorTitle="TPD Cover" error="Please input a multiple of $1,000._x000a__x000a_Maximum TPD Cover is $3,000,000." sqref="J10" xr:uid="{8B0CEFC0-BC9D-4C4D-8BA1-ECC0827BC7D7}">
      <formula1>AND(MOD(J10,1000)=0,J10&lt;=3000000)</formula1>
    </dataValidation>
  </dataValidation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B5B9B3-12D6-4B73-9611-3D0F7582AE58}">
          <x14:formula1>
            <xm:f>OFFSET(Staging!$J$3,0,0,Staging!$K$2)</xm:f>
          </x14:formula1>
          <xm:sqref>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0B0E-86BC-45E8-92B5-151A446EC276}">
  <sheetPr codeName="Sheet1">
    <tabColor rgb="FF00B0F0"/>
  </sheetPr>
  <dimension ref="B2:N71"/>
  <sheetViews>
    <sheetView zoomScaleNormal="100" workbookViewId="0"/>
  </sheetViews>
  <sheetFormatPr defaultRowHeight="14.5" x14ac:dyDescent="0.35"/>
  <cols>
    <col min="1" max="1" width="5.54296875" customWidth="1"/>
    <col min="2" max="2" width="25.54296875" customWidth="1"/>
    <col min="3" max="5" width="15.54296875" customWidth="1"/>
    <col min="6" max="6" width="5.54296875" customWidth="1"/>
    <col min="7" max="7" width="12.54296875" customWidth="1"/>
    <col min="8" max="8" width="22.54296875" customWidth="1"/>
    <col min="11" max="11" width="20.81640625" bestFit="1" customWidth="1"/>
    <col min="12" max="12" width="8.453125" bestFit="1" customWidth="1"/>
    <col min="13" max="13" width="8" bestFit="1" customWidth="1"/>
    <col min="14" max="14" width="11.1796875" bestFit="1" customWidth="1"/>
  </cols>
  <sheetData>
    <row r="2" spans="2:14" x14ac:dyDescent="0.35">
      <c r="B2" s="23" t="s">
        <v>43</v>
      </c>
      <c r="C2" s="38" t="str">
        <f>Staging!C2</f>
        <v>Deloitte</v>
      </c>
      <c r="G2" s="40" t="s">
        <v>44</v>
      </c>
      <c r="H2" s="40"/>
      <c r="K2" s="146" t="s">
        <v>45</v>
      </c>
      <c r="L2" s="146"/>
      <c r="M2" s="146"/>
      <c r="N2" s="146"/>
    </row>
    <row r="3" spans="2:14" x14ac:dyDescent="0.35">
      <c r="B3" s="23" t="s">
        <v>46</v>
      </c>
      <c r="C3" s="22">
        <f>IF(Summary!$C$8="",1,Summary!$C$8)</f>
        <v>1</v>
      </c>
      <c r="D3" s="2">
        <f>IF(Staging!$C$3=1,1,MATCH(C4,Staging!$C$7:$G$7,0))</f>
        <v>1</v>
      </c>
      <c r="G3" s="23" t="s">
        <v>47</v>
      </c>
      <c r="H3" s="23"/>
      <c r="K3" s="37"/>
      <c r="L3" s="37" t="s">
        <v>18</v>
      </c>
      <c r="M3" s="37" t="s">
        <v>48</v>
      </c>
      <c r="N3" s="37" t="s">
        <v>49</v>
      </c>
    </row>
    <row r="4" spans="2:14" ht="29" x14ac:dyDescent="0.35">
      <c r="B4" s="23" t="s">
        <v>50</v>
      </c>
      <c r="C4" s="73" t="str" cm="1">
        <f t="array" ref="C4">INDEX(Staging!$C$7:$G$7,Calculations!C3)</f>
        <v>Permanent employees</v>
      </c>
      <c r="D4" s="126" t="str" cm="1">
        <f t="array" ref="D4">INDEX(Staging!$C$7:$G$7,Calculations!C3)</f>
        <v>Permanent employees</v>
      </c>
      <c r="G4" s="23" t="s">
        <v>51</v>
      </c>
      <c r="H4" s="23" t="s">
        <v>52</v>
      </c>
      <c r="K4" s="29" t="s">
        <v>53</v>
      </c>
      <c r="L4" s="30">
        <v>1</v>
      </c>
      <c r="M4" s="30">
        <v>0.5</v>
      </c>
      <c r="N4" s="30">
        <v>0.45</v>
      </c>
    </row>
    <row r="5" spans="2:14" x14ac:dyDescent="0.35">
      <c r="G5" s="25" t="s">
        <v>54</v>
      </c>
      <c r="H5" s="25" t="s">
        <v>55</v>
      </c>
      <c r="K5" s="29" t="s">
        <v>56</v>
      </c>
      <c r="L5" s="30">
        <v>1</v>
      </c>
      <c r="M5" s="30">
        <v>0.5</v>
      </c>
      <c r="N5" s="30">
        <v>0.45</v>
      </c>
    </row>
    <row r="6" spans="2:14" x14ac:dyDescent="0.35">
      <c r="G6" s="27" t="s">
        <v>57</v>
      </c>
      <c r="H6" s="27" t="s">
        <v>58</v>
      </c>
      <c r="K6" s="29" t="s">
        <v>59</v>
      </c>
      <c r="L6" s="30">
        <v>1</v>
      </c>
      <c r="M6" s="30">
        <v>0.5</v>
      </c>
      <c r="N6" s="30">
        <v>0.45</v>
      </c>
    </row>
    <row r="7" spans="2:14" x14ac:dyDescent="0.35">
      <c r="G7" s="41" t="s">
        <v>60</v>
      </c>
      <c r="H7" s="41" t="s">
        <v>61</v>
      </c>
      <c r="K7" s="29" t="s">
        <v>62</v>
      </c>
      <c r="L7" s="30">
        <v>1</v>
      </c>
      <c r="M7" s="30">
        <v>0.5</v>
      </c>
      <c r="N7" s="30">
        <v>0.45</v>
      </c>
    </row>
    <row r="8" spans="2:14" x14ac:dyDescent="0.35">
      <c r="B8" s="1" t="s">
        <v>63</v>
      </c>
      <c r="K8" s="31" t="s">
        <v>64</v>
      </c>
      <c r="L8" s="32">
        <v>1</v>
      </c>
      <c r="M8" s="32">
        <v>0.56000000000000005</v>
      </c>
      <c r="N8" s="32">
        <v>0.5</v>
      </c>
    </row>
    <row r="9" spans="2:14" x14ac:dyDescent="0.35">
      <c r="B9" s="23" t="s">
        <v>65</v>
      </c>
      <c r="C9" s="38">
        <f ca="1">TODAY()</f>
        <v>45072</v>
      </c>
    </row>
    <row r="10" spans="2:14" x14ac:dyDescent="0.35">
      <c r="B10" s="23" t="s">
        <v>66</v>
      </c>
      <c r="C10" s="38">
        <f>Summary!C9</f>
        <v>0</v>
      </c>
    </row>
    <row r="11" spans="2:14" x14ac:dyDescent="0.35">
      <c r="B11" s="23" t="s">
        <v>67</v>
      </c>
      <c r="C11" s="22">
        <f ca="1">IFERROR(DATEDIF(C10,C9,"Y"),0)</f>
        <v>123</v>
      </c>
    </row>
    <row r="12" spans="2:14" x14ac:dyDescent="0.35">
      <c r="B12" s="23" t="s">
        <v>68</v>
      </c>
      <c r="C12" s="26">
        <f>Summary!C12</f>
        <v>0</v>
      </c>
    </row>
    <row r="13" spans="2:14" x14ac:dyDescent="0.35">
      <c r="B13" s="23" t="s">
        <v>69</v>
      </c>
      <c r="C13" s="58">
        <f>Summary!C10</f>
        <v>0</v>
      </c>
    </row>
    <row r="14" spans="2:14" x14ac:dyDescent="0.35">
      <c r="B14" s="23" t="s">
        <v>70</v>
      </c>
      <c r="C14" s="26">
        <f>Summary!C11</f>
        <v>0</v>
      </c>
    </row>
    <row r="15" spans="2:14" x14ac:dyDescent="0.35">
      <c r="B15" s="23" t="s">
        <v>71</v>
      </c>
      <c r="C15" s="43" t="str">
        <f>HLOOKUP(C$3,Staging!$C$4:$G$61,MATCH(B15,Staging!$B$4:$B$61,FALSE),FALSE)</f>
        <v>Professional</v>
      </c>
    </row>
    <row r="16" spans="2:14" x14ac:dyDescent="0.35">
      <c r="B16" s="23" t="s">
        <v>72</v>
      </c>
      <c r="C16" s="22" t="str">
        <f>IF(ISNUMBER(MATCH("Professional",$C$14:$C$15,0)),"Professional",IF(ISNUMBER(MATCH("White Collar",$C$14:$C$15,0)),"White Collar","Blue Collar"))</f>
        <v>Professional</v>
      </c>
    </row>
    <row r="18" spans="2:12" x14ac:dyDescent="0.35">
      <c r="B18" s="1" t="s">
        <v>73</v>
      </c>
      <c r="C18" s="2" t="s">
        <v>74</v>
      </c>
      <c r="D18" s="2" t="s">
        <v>56</v>
      </c>
      <c r="E18" s="2" t="s">
        <v>75</v>
      </c>
    </row>
    <row r="19" spans="2:12" ht="43.5" x14ac:dyDescent="0.35">
      <c r="B19" s="23" t="s">
        <v>76</v>
      </c>
      <c r="C19" s="43" t="str">
        <f>HLOOKUP($C$3,Staging!$C$4:$G$61,MATCH("Death Design",Staging!$B$4:$B$61,FALSE),FALSE)</f>
        <v>15% x Salary x Future Service to age 65</v>
      </c>
      <c r="D19" s="43" t="str">
        <f>HLOOKUP($C$3,Staging!$C$4:$G$61,MATCH("TPD Design",Staging!$B$4:$B$61,FALSE),FALSE)</f>
        <v>15% x Salary x Future Service to age 65</v>
      </c>
      <c r="E19" s="43" t="str">
        <f>HLOOKUP($C$3,Staging!$C$4:$G$61,MATCH("Income Protection Design",Staging!$B$4:$B$61,FALSE),FALSE)</f>
        <v>85% x Salary</v>
      </c>
      <c r="H19" s="35" t="s">
        <v>77</v>
      </c>
      <c r="I19" s="35"/>
      <c r="K19" s="71" t="s">
        <v>78</v>
      </c>
      <c r="L19" s="71"/>
    </row>
    <row r="20" spans="2:12" x14ac:dyDescent="0.35">
      <c r="B20" s="23" t="s">
        <v>79</v>
      </c>
      <c r="C20" s="42">
        <f>VLOOKUP(C21,$H$20:$I$25,2,FALSE)</f>
        <v>5</v>
      </c>
      <c r="D20" s="42">
        <f>VLOOKUP(D21,$H$20:$I$25,2,FALSE)</f>
        <v>5</v>
      </c>
      <c r="E20" s="42">
        <f>VLOOKUP(E21,$K$20:$L$24,2,FALSE)</f>
        <v>5</v>
      </c>
      <c r="H20" s="35" t="s">
        <v>80</v>
      </c>
      <c r="I20" s="35">
        <v>1</v>
      </c>
      <c r="K20" s="71" t="s">
        <v>80</v>
      </c>
      <c r="L20" s="71">
        <v>1</v>
      </c>
    </row>
    <row r="21" spans="2:12" x14ac:dyDescent="0.35">
      <c r="B21" s="23" t="s">
        <v>81</v>
      </c>
      <c r="C21" s="43" t="str">
        <f>HLOOKUP($C$3,Staging!$C$4:$G$61,MATCH(C$18&amp;"_"&amp;$B21,Staging!$B$4:$B$61,FALSE),FALSE)</f>
        <v>% x Sal x FYS</v>
      </c>
      <c r="D21" s="43" t="str">
        <f>HLOOKUP($C$3,Staging!$C$4:$G$61,MATCH(D$18&amp;"_"&amp;$B21,Staging!$B$4:$B$61,FALSE),FALSE)</f>
        <v>% x Sal x FYS</v>
      </c>
      <c r="E21" s="43" t="str">
        <f>HLOOKUP($C$3,Staging!$C$4:$G$61,MATCH(E$18&amp;"_"&amp;$B21,Staging!$B$4:$B$61,FALSE),FALSE)</f>
        <v>% x Salary</v>
      </c>
      <c r="H21" s="35" t="s">
        <v>82</v>
      </c>
      <c r="I21" s="35">
        <v>2</v>
      </c>
      <c r="K21" s="71" t="s">
        <v>82</v>
      </c>
      <c r="L21" s="71">
        <v>2</v>
      </c>
    </row>
    <row r="22" spans="2:12" x14ac:dyDescent="0.35">
      <c r="B22" s="23" t="s">
        <v>83</v>
      </c>
      <c r="C22" s="43">
        <f>HLOOKUP($C$3,Staging!$C$4:$G$61,MATCH(C$18&amp;"_"&amp;$B22,Staging!$B$4:$B$61,FALSE),FALSE)</f>
        <v>70</v>
      </c>
      <c r="D22" s="43">
        <f>HLOOKUP($C$3,Staging!$C$4:$G$61,MATCH(D$18&amp;"_"&amp;$B22,Staging!$B$4:$B$61,FALSE),FALSE)</f>
        <v>65</v>
      </c>
      <c r="E22" s="43">
        <f>HLOOKUP($C$3,Staging!$C$4:$G$61,MATCH(E$18&amp;"_"&amp;$B22,Staging!$B$4:$B$61,FALSE),FALSE)</f>
        <v>70</v>
      </c>
      <c r="H22" s="35" t="s">
        <v>84</v>
      </c>
      <c r="I22" s="35">
        <v>3</v>
      </c>
      <c r="K22" s="71" t="s">
        <v>84</v>
      </c>
      <c r="L22" s="71">
        <v>3</v>
      </c>
    </row>
    <row r="23" spans="2:12" x14ac:dyDescent="0.35">
      <c r="B23" s="23" t="s">
        <v>85</v>
      </c>
      <c r="C23" s="43">
        <f>HLOOKUP($C$3,Staging!$C$4:$G$61,MATCH(C$18&amp;"_"&amp;$B23,Staging!$B$4:$B$61,FALSE),FALSE)</f>
        <v>1500000</v>
      </c>
      <c r="D23" s="43">
        <f>HLOOKUP($C$3,Staging!$C$4:$G$61,MATCH(D$18&amp;"_"&amp;$B23,Staging!$B$4:$B$61,FALSE),FALSE)</f>
        <v>1500000</v>
      </c>
      <c r="E23" s="43">
        <f>HLOOKUP($C$3,Staging!$C$4:$G$61,MATCH(E$18&amp;"_"&amp;$B23,Staging!$B$4:$B$61,FALSE),FALSE)</f>
        <v>14000</v>
      </c>
      <c r="H23" s="35" t="s">
        <v>86</v>
      </c>
      <c r="I23" s="35">
        <v>4</v>
      </c>
      <c r="K23" s="71" t="s">
        <v>86</v>
      </c>
      <c r="L23" s="71">
        <v>4</v>
      </c>
    </row>
    <row r="24" spans="2:12" x14ac:dyDescent="0.35">
      <c r="B24" s="23" t="s">
        <v>87</v>
      </c>
      <c r="C24" s="43">
        <f>HLOOKUP($C$3,Staging!$C$4:$G$61,MATCH(C$18&amp;"_"&amp;$B24,Staging!$B$4:$B$61,FALSE),FALSE)</f>
        <v>999999999</v>
      </c>
      <c r="D24" s="43">
        <f>HLOOKUP($C$3,Staging!$C$4:$G$61,MATCH(D$18&amp;"_"&amp;$B24,Staging!$B$4:$B$61,FALSE),FALSE)</f>
        <v>3000000</v>
      </c>
      <c r="E24" s="43">
        <f>HLOOKUP($C$3,Staging!$C$4:$G$61,MATCH(E$18&amp;"_"&amp;$B24,Staging!$B$4:$B$61,FALSE),FALSE)</f>
        <v>30000</v>
      </c>
      <c r="H24" s="35" t="s">
        <v>88</v>
      </c>
      <c r="I24" s="35">
        <v>5</v>
      </c>
      <c r="K24" s="71" t="s">
        <v>89</v>
      </c>
      <c r="L24" s="71">
        <v>5</v>
      </c>
    </row>
    <row r="25" spans="2:12" x14ac:dyDescent="0.35">
      <c r="D25" s="34" t="s">
        <v>90</v>
      </c>
      <c r="E25" s="43">
        <f>HLOOKUP(C$3,Staging!$C$4:$G$61,MATCH(D25,Staging!$B$4:$B$61,FALSE),FALSE)</f>
        <v>5</v>
      </c>
      <c r="H25" s="35" t="s">
        <v>91</v>
      </c>
      <c r="I25" s="35">
        <v>6</v>
      </c>
    </row>
    <row r="26" spans="2:12" x14ac:dyDescent="0.35">
      <c r="D26" s="34" t="s">
        <v>92</v>
      </c>
      <c r="E26" s="43">
        <f>HLOOKUP(C$3,Staging!$C$4:$G$61,MATCH(D26,Staging!$B$4:$B$61,FALSE),FALSE)</f>
        <v>60</v>
      </c>
    </row>
    <row r="28" spans="2:12" x14ac:dyDescent="0.35">
      <c r="B28" s="1" t="s">
        <v>93</v>
      </c>
      <c r="C28" s="2" t="s">
        <v>74</v>
      </c>
      <c r="D28" s="2" t="s">
        <v>56</v>
      </c>
      <c r="E28" s="2" t="s">
        <v>75</v>
      </c>
    </row>
    <row r="29" spans="2:12" x14ac:dyDescent="0.35">
      <c r="B29" s="1" t="s">
        <v>94</v>
      </c>
      <c r="C29" s="60">
        <f ca="1">IF(OR($C$11&gt;=C22,C11&lt;15),0,IF(C20=1,0,IF(C20=2,C30,IF(C20=3,C31,IF(C20=4,C31*C32,IF(C20=5,C33*$C$13*C36,IF(C20=6,C37*$C$13,NA())))))))</f>
        <v>0</v>
      </c>
      <c r="D29" s="60">
        <f ca="1">IF(OR($C$11&gt;=D22,C11&lt;15),0,IF(D20=1,0,IF(D20=2,D30,IF(D20=3,D31,IF(D20=4,D31*D32,IF(D20=5,D33*$C$13*D36,IF(D20=6,D37*$C$13,NA())))))))</f>
        <v>0</v>
      </c>
      <c r="E29" s="60">
        <f ca="1">IF(OR($C$11&gt;=E68,C11&lt;15,AND($C$11&gt;65,E25&gt;2)),0,IF(E20=1,0,IF(E20=2,E30,IF(E20=3,E31,IF(E20=4,E31*E32,IF(E20=5,E33*$C$13/12,NA()))))))</f>
        <v>0</v>
      </c>
    </row>
    <row r="30" spans="2:12" x14ac:dyDescent="0.35">
      <c r="B30" s="1" t="s">
        <v>82</v>
      </c>
      <c r="C30" s="43">
        <f>HLOOKUP($C$3,Staging!$C$4:$G$61,MATCH(C$18&amp;"_"&amp;$B30,Staging!$B$4:$B$61,FALSE),FALSE)</f>
        <v>0</v>
      </c>
      <c r="D30" s="43">
        <f>HLOOKUP($C$3,Staging!$C$4:$G$61,MATCH(D$18&amp;"_"&amp;$B30,Staging!$B$4:$B$61,FALSE),FALSE)</f>
        <v>0</v>
      </c>
      <c r="E30" s="43">
        <f>HLOOKUP($C$3,Staging!$C$4:$G$61,MATCH(E$18&amp;"_"&amp;$B30,Staging!$B$4:$B$61,FALSE),FALSE)</f>
        <v>0</v>
      </c>
    </row>
    <row r="31" spans="2:12" x14ac:dyDescent="0.35">
      <c r="B31" s="1" t="s">
        <v>95</v>
      </c>
      <c r="C31" s="22" t="str">
        <f>IF(C19="Age Based Scale",VLOOKUP($C$11,#REF!,2,FALSE),"")</f>
        <v/>
      </c>
      <c r="D31" s="22" t="str">
        <f>IF(D19="Age Based Scale",VLOOKUP($C$11,#REF!,2,FALSE),"")</f>
        <v/>
      </c>
      <c r="E31" s="22" t="str">
        <f>IF(E19="Age Based Scale",VLOOKUP($C$11,#REF!,2,FALSE),"")</f>
        <v/>
      </c>
    </row>
    <row r="32" spans="2:12" x14ac:dyDescent="0.35">
      <c r="B32" s="1" t="s">
        <v>96</v>
      </c>
      <c r="C32" s="43">
        <f>HLOOKUP($C$3,Staging!$C$4:$G$61,MATCH(C$18&amp;"_"&amp;$B32,Staging!$B$4:$B$61,FALSE),FALSE)</f>
        <v>0</v>
      </c>
      <c r="D32" s="43">
        <f>HLOOKUP($C$3,Staging!$C$4:$G$61,MATCH(D$18&amp;"_"&amp;$B32,Staging!$B$4:$B$61,FALSE),FALSE)</f>
        <v>0</v>
      </c>
      <c r="E32" s="43">
        <f>HLOOKUP($C$3,Staging!$C$4:$G$61,MATCH(E$18&amp;"_"&amp;$B32,Staging!$B$4:$B$61,FALSE),FALSE)</f>
        <v>0</v>
      </c>
    </row>
    <row r="33" spans="2:8" x14ac:dyDescent="0.35">
      <c r="B33" s="1" t="s">
        <v>97</v>
      </c>
      <c r="C33" s="43">
        <f>HLOOKUP($C$3,Staging!$C$4:$G$61,MATCH(C$18&amp;"_"&amp;$B33,Staging!$B$4:$B$61,FALSE),FALSE)</f>
        <v>0.15</v>
      </c>
      <c r="D33" s="43">
        <f>HLOOKUP($C$3,Staging!$C$4:$G$61,MATCH(D$18&amp;"_"&amp;$B33,Staging!$B$4:$B$61,FALSE),FALSE)</f>
        <v>0.15</v>
      </c>
      <c r="E33" s="43">
        <f>HLOOKUP($C$3,Staging!$C$4:$G$61,MATCH(E$18&amp;"_"&amp;$B33,Staging!$B$4:$B$61,FALSE),FALSE)</f>
        <v>0.85</v>
      </c>
    </row>
    <row r="34" spans="2:8" x14ac:dyDescent="0.35">
      <c r="B34" s="1" t="s">
        <v>98</v>
      </c>
      <c r="C34" s="43">
        <f>HLOOKUP($C$3,Staging!$C$4:$G$61,MATCH(C$18&amp;"_"&amp;$B34,Staging!$B$4:$B$61,FALSE),FALSE)</f>
        <v>65</v>
      </c>
      <c r="D34" s="43">
        <f>HLOOKUP($C$3,Staging!$C$4:$G$61,MATCH(D$18&amp;"_"&amp;$B34,Staging!$B$4:$B$61,FALSE),FALSE)</f>
        <v>65</v>
      </c>
    </row>
    <row r="35" spans="2:8" x14ac:dyDescent="0.35">
      <c r="B35" t="s">
        <v>99</v>
      </c>
      <c r="C35" s="59">
        <f>DATE(YEAR($C$10)+C34,MONTH($C$10),DAY($C$10))</f>
        <v>23742</v>
      </c>
      <c r="D35" s="59">
        <f>DATE(YEAR($C$10)+D34,MONTH($C$10),DAY($C$10))</f>
        <v>23742</v>
      </c>
    </row>
    <row r="36" spans="2:8" x14ac:dyDescent="0.35">
      <c r="B36" t="s">
        <v>100</v>
      </c>
      <c r="C36" s="22">
        <f ca="1">IF(C35&gt;$C9,(DATEDIF($C$9,C35,"M")+IF(DAY(C35)=DAY($C$9),0,1))/12,0)</f>
        <v>0</v>
      </c>
      <c r="D36" s="22">
        <f ca="1">IF(D35&gt;$C9,(DATEDIF($C$9,D35,"M")+IF(DAY(D35)=DAY($C$9),0,1))/12,0)</f>
        <v>0</v>
      </c>
      <c r="F36" s="129"/>
    </row>
    <row r="37" spans="2:8" x14ac:dyDescent="0.35">
      <c r="B37" s="1" t="s">
        <v>101</v>
      </c>
      <c r="C37" s="43">
        <f>HLOOKUP($C$3,Staging!$C$4:$G$61,MATCH(C$18&amp;"_"&amp;$B37,Staging!$B$4:$B$61,FALSE),FALSE)</f>
        <v>0</v>
      </c>
      <c r="D37" s="43">
        <f>HLOOKUP($C$3,Staging!$C$4:$G$61,MATCH(D$18&amp;"_"&amp;$B37,Staging!$B$4:$B$61,FALSE),FALSE)</f>
        <v>0</v>
      </c>
    </row>
    <row r="38" spans="2:8" x14ac:dyDescent="0.35">
      <c r="C38" s="2"/>
      <c r="D38" s="33"/>
    </row>
    <row r="39" spans="2:8" x14ac:dyDescent="0.35">
      <c r="B39" s="23" t="s">
        <v>102</v>
      </c>
      <c r="C39" s="43" t="str">
        <f>HLOOKUP(C$3,Staging!$C$4:$G$61,MATCH(B39,Staging!$B$4:$B$61,FALSE),FALSE)</f>
        <v>Uni-sex</v>
      </c>
    </row>
    <row r="41" spans="2:8" x14ac:dyDescent="0.35">
      <c r="B41" t="s">
        <v>103</v>
      </c>
      <c r="C41" s="2" t="s">
        <v>53</v>
      </c>
      <c r="D41" s="2" t="s">
        <v>56</v>
      </c>
      <c r="E41" s="61" t="str">
        <f>IF($E25=2,$K$6,IF($E25=5,$K$7,IF($E25=65,$K$8,NA())))</f>
        <v>5-year benefit period IP</v>
      </c>
    </row>
    <row r="42" spans="2:8" x14ac:dyDescent="0.35">
      <c r="B42" s="23" t="s">
        <v>104</v>
      </c>
      <c r="C42" s="70">
        <f>INDEX($L$4:$N$8,MATCH(C$41,$K$4:$K$8,FALSE),MATCH($C$16,$L$3:$N$3,FALSE))</f>
        <v>0.45</v>
      </c>
      <c r="D42" s="70">
        <f>INDEX($L$4:$N$8,MATCH(D$41,$K$4:$K$8,FALSE),MATCH($C$16,$L$3:$N$3,FALSE))</f>
        <v>0.45</v>
      </c>
      <c r="E42" s="70">
        <f>INDEX($L$4:$N$8,MATCH(E$41,$K$4:$K$8,FALSE),MATCH($C$16,$L$3:$N$3,FALSE))</f>
        <v>0.45</v>
      </c>
    </row>
    <row r="43" spans="2:8" x14ac:dyDescent="0.35">
      <c r="B43" s="23" t="s">
        <v>105</v>
      </c>
      <c r="D43" s="34" t="e">
        <f>IF($E64=2,$K$6,IF($E64=5,$K$7,IF($E64=65,$K$8,NA())))</f>
        <v>#VALUE!</v>
      </c>
      <c r="E43" s="72" t="e">
        <f>INDEX($L$4:$N$8,MATCH(D$43,$K$4:$K$8,FALSE),MATCH($C$16,$L$3:$N$3,FALSE))</f>
        <v>#VALUE!</v>
      </c>
    </row>
    <row r="45" spans="2:8" x14ac:dyDescent="0.35">
      <c r="B45" s="36" t="s">
        <v>106</v>
      </c>
      <c r="C45" s="23" t="s">
        <v>107</v>
      </c>
      <c r="D45" s="23" t="s">
        <v>108</v>
      </c>
      <c r="E45" s="23" t="s">
        <v>109</v>
      </c>
    </row>
    <row r="46" spans="2:8" x14ac:dyDescent="0.35">
      <c r="B46" s="36" t="s">
        <v>110</v>
      </c>
      <c r="C46" s="23" t="s">
        <v>111</v>
      </c>
      <c r="D46" s="23" t="s">
        <v>112</v>
      </c>
      <c r="E46" s="73" t="str">
        <f>"SE_STD_"&amp;E25&amp;"_"&amp;E26</f>
        <v>SE_STD_5_60</v>
      </c>
      <c r="H46" t="s">
        <v>113</v>
      </c>
    </row>
    <row r="47" spans="2:8" x14ac:dyDescent="0.35">
      <c r="B47" s="23" t="s">
        <v>104</v>
      </c>
      <c r="C47" s="41">
        <f ca="1">IFERROR(Calculations!C$42*INDEX(INDIRECT($H$47),MATCH($C$11,INDIRECT($H$48),0),MATCH(C$46,INDIRECT($H$49),0)),0)</f>
        <v>0</v>
      </c>
      <c r="D47" s="41">
        <f ca="1">IFERROR(Calculations!D$42*INDEX(INDIRECT($H$47),MATCH($C$11,INDIRECT($H$48),0),MATCH(D$46,INDIRECT($H$49),0)),0)</f>
        <v>0</v>
      </c>
      <c r="E47" s="41">
        <f ca="1">IFERROR(Calculations!E$42*INDEX(INDIRECT($H$47),MATCH($C$11,INDIRECT($H$48),0),MATCH(E$46,INDIRECT($H$49),0)),0)</f>
        <v>0</v>
      </c>
      <c r="G47" t="s">
        <v>114</v>
      </c>
      <c r="H47" t="str">
        <f>"'Rates 2023"&amp;IF(Calculations!$C$39="Uni-sex","","-"&amp;LEFT($C$12,1))&amp;"'!$B$8:$L$68"</f>
        <v>'Rates 2023'!$B$8:$L$68</v>
      </c>
    </row>
    <row r="48" spans="2:8" x14ac:dyDescent="0.35">
      <c r="B48" s="23" t="s">
        <v>115</v>
      </c>
      <c r="C48" s="41">
        <f ca="1">IFERROR(Calculations!C$42*INDEX(INDIRECT($H$47),MATCH($C$11,INDIRECT($H$48),0),MATCH(C$46,INDIRECT($H$49),0)),0)</f>
        <v>0</v>
      </c>
      <c r="D48" s="41">
        <f ca="1">IFERROR(Calculations!D$42*INDEX(INDIRECT($H$47),MATCH($C$11,INDIRECT($H$48),0),MATCH(D$46,INDIRECT($H$49),0)),0)</f>
        <v>0</v>
      </c>
      <c r="E48" s="41">
        <f ca="1">IFERROR(Calculations!E$42*INDEX(INDIRECT($H$47),MATCH($C$11,INDIRECT($H$48),0),MATCH(E$46,INDIRECT($H$49),0)),0)</f>
        <v>0</v>
      </c>
      <c r="G48" t="s">
        <v>116</v>
      </c>
      <c r="H48" s="125" t="str">
        <f>"'Rates 2023"&amp;IF(Calculations!$C$39="Uni-sex","","-"&amp;LEFT($C$12,1))&amp;"'!$A$8:$A$68"</f>
        <v>'Rates 2023'!$A$8:$A$68</v>
      </c>
    </row>
    <row r="49" spans="2:8" x14ac:dyDescent="0.35">
      <c r="B49" s="23" t="s">
        <v>117</v>
      </c>
      <c r="C49" s="41">
        <f ca="1">IFERROR(Calculations!C$42*INDEX(INDIRECT($H$47),MATCH($C$11,INDIRECT($H$48),0),MATCH(C$46,INDIRECT($H$49),0)),0)</f>
        <v>0</v>
      </c>
      <c r="D49" s="41">
        <f ca="1">IFERROR(Calculations!D$42*INDEX(INDIRECT($H$47),MATCH($C$11,INDIRECT($H$48),0),MATCH(D$46,INDIRECT($H$49),0)),0)</f>
        <v>0</v>
      </c>
      <c r="E49" s="41">
        <f ca="1">IFERROR(Calculations!E$43*INDEX(INDIRECT($H$47),MATCH($C$11,INDIRECT($H$48),0),MATCH(E$66,INDIRECT($H$49),0)),0)</f>
        <v>0</v>
      </c>
      <c r="G49" t="s">
        <v>81</v>
      </c>
      <c r="H49" s="125" t="str">
        <f>"'Rates 2023"&amp;IF(Calculations!$C$39="Uni-sex","","-"&amp;LEFT($C$12,1))&amp;"'!$B$7:$L$7"</f>
        <v>'Rates 2023'!$B$7:$L$7</v>
      </c>
    </row>
    <row r="51" spans="2:8" x14ac:dyDescent="0.35">
      <c r="B51" s="36" t="s">
        <v>118</v>
      </c>
      <c r="C51" s="23" t="s">
        <v>107</v>
      </c>
      <c r="D51" s="23" t="s">
        <v>108</v>
      </c>
      <c r="E51" s="23" t="s">
        <v>109</v>
      </c>
    </row>
    <row r="52" spans="2:8" x14ac:dyDescent="0.35">
      <c r="B52" s="23" t="s">
        <v>119</v>
      </c>
      <c r="C52" s="68">
        <f ca="1">IF(C$19="No basic cover","n/a",MIN(C$23,_xlfn.CEILING.MATH(C$29,1000)))</f>
        <v>0</v>
      </c>
      <c r="D52" s="68">
        <f ca="1">IF(D$19="No basic cover","n/a",MIN(D$23,_xlfn.CEILING.MATH(D$29,1000)))</f>
        <v>0</v>
      </c>
      <c r="E52" s="68">
        <f ca="1">IF(E$19="No basic cover","n/a",MIN(E$23,_xlfn.CEILING.MATH(E$29,100)))</f>
        <v>0</v>
      </c>
    </row>
    <row r="53" spans="2:8" x14ac:dyDescent="0.35">
      <c r="B53" s="23" t="s">
        <v>120</v>
      </c>
      <c r="C53" s="69">
        <f ca="1">IF(C19="No basic cover",0,C52/10000*C$47)</f>
        <v>0</v>
      </c>
      <c r="D53" s="69">
        <f ca="1">IF(D19="No basic cover",0,D52/10000*D$47)</f>
        <v>0</v>
      </c>
      <c r="E53" s="69">
        <f ca="1">IF(E19="No basic cover",0,E52/100*E$47)</f>
        <v>0</v>
      </c>
    </row>
    <row r="55" spans="2:8" x14ac:dyDescent="0.35">
      <c r="B55" s="65" t="s">
        <v>115</v>
      </c>
      <c r="C55" s="27" t="s">
        <v>107</v>
      </c>
      <c r="D55" s="27" t="s">
        <v>108</v>
      </c>
      <c r="E55" s="27" t="s">
        <v>109</v>
      </c>
    </row>
    <row r="56" spans="2:8" x14ac:dyDescent="0.35">
      <c r="B56" s="27" t="s">
        <v>119</v>
      </c>
      <c r="C56" s="66">
        <f ca="1">IF(C$19="No basic cover","n/a",MIN(C$24,_xlfn.CEILING.MATH(C$29,1000)))</f>
        <v>0</v>
      </c>
      <c r="D56" s="66">
        <f ca="1">IF(D$19="No basic cover","n/a",MIN(D$24,_xlfn.CEILING.MATH(D$29,1000)))</f>
        <v>0</v>
      </c>
      <c r="E56" s="66">
        <f ca="1">IF(E$19="No basic cover","n/a",MIN(E$24,_xlfn.CEILING.MATH(E$29,100)))</f>
        <v>0</v>
      </c>
    </row>
    <row r="57" spans="2:8" x14ac:dyDescent="0.35">
      <c r="B57" s="27" t="s">
        <v>120</v>
      </c>
      <c r="C57" s="67">
        <f ca="1">IF(C19="No basic cover",0,C56/10000*C$48)</f>
        <v>0</v>
      </c>
      <c r="D57" s="67">
        <f ca="1">IF(D19="No basic cover",0,D56/10000*D$48)</f>
        <v>0</v>
      </c>
      <c r="E57" s="67">
        <f ca="1">IF(E19="No basic cover",0,E56/100*E$48)</f>
        <v>0</v>
      </c>
    </row>
    <row r="58" spans="2:8" ht="43.5" x14ac:dyDescent="0.35">
      <c r="B58" t="s">
        <v>121</v>
      </c>
      <c r="C58" s="39" t="str">
        <f ca="1">IF(C$19="No basic cover","",
IF(C69,"^ Basic Death cover ends at age "&amp;C68&amp;".",
IF(C56&gt;C52,"^ You will be capped at the automatic limit of $"&amp;TEXT(C52,"0,000")&amp;". To have basic cover above the automatic limit in line with your salary, you’ll need to provide detailed health information for the Insurer to consider.",
"")))</f>
        <v>^ Basic Death cover ends at age 65.</v>
      </c>
      <c r="D58" s="39" t="str">
        <f ca="1">IF(D$19="No basic cover","",
IF(D69,"† Basic TPD cover ends at age "&amp;D68&amp;".",
IF(D56&gt;D52,"† You will be capped at the automatic limit of $"&amp;TEXT(D52,"0,000")&amp;". To have basic cover above the automatic limit in line with your salary, you’ll need to provide detailed health information for the Insurer to consider.",
"")))</f>
        <v>† Basic TPD cover ends at age 65.</v>
      </c>
      <c r="E58" s="39" t="str">
        <f ca="1">IF(E$19="No basic cover","",
IF(E69,"‡ Basic Income Protection ends at age "&amp;E68&amp;".",
IF(E56&gt;E52,"‡ You will be capped at the automatic limit of $"&amp;TEXT(E52,"0,000")&amp;". To have basic cover above the automatic limit in line with your salary, you’ll need to provide detailed health information for the Insurer to consider.",
"")))</f>
        <v>‡ Basic Income Protection ends at age 65.</v>
      </c>
      <c r="F58" t="s">
        <v>122</v>
      </c>
    </row>
    <row r="60" spans="2:8" x14ac:dyDescent="0.35">
      <c r="B60" s="62" t="s">
        <v>117</v>
      </c>
      <c r="C60" s="47" t="s">
        <v>107</v>
      </c>
      <c r="D60" s="47" t="s">
        <v>108</v>
      </c>
      <c r="E60" s="47" t="s">
        <v>109</v>
      </c>
    </row>
    <row r="61" spans="2:8" x14ac:dyDescent="0.35">
      <c r="B61" s="47" t="s">
        <v>119</v>
      </c>
      <c r="C61" s="63">
        <f>Summary!J9</f>
        <v>0</v>
      </c>
      <c r="D61" s="63">
        <f>Summary!J10</f>
        <v>0</v>
      </c>
      <c r="E61" s="63">
        <f>Summary!J15</f>
        <v>0</v>
      </c>
    </row>
    <row r="62" spans="2:8" x14ac:dyDescent="0.35">
      <c r="B62" s="47" t="s">
        <v>120</v>
      </c>
      <c r="C62" s="64">
        <f ca="1">C61/10000*C$49</f>
        <v>0</v>
      </c>
      <c r="D62" s="64">
        <f ca="1">D61/10000*D$49</f>
        <v>0</v>
      </c>
      <c r="E62" s="64">
        <f ca="1">E61/100*E$49</f>
        <v>0</v>
      </c>
    </row>
    <row r="64" spans="2:8" x14ac:dyDescent="0.35">
      <c r="D64" s="34" t="s">
        <v>123</v>
      </c>
      <c r="E64" s="26" t="e">
        <f>VALUE(RIGHT(SUBSTITUTE(Summary!J16," years",""),2))</f>
        <v>#VALUE!</v>
      </c>
    </row>
    <row r="65" spans="2:5" x14ac:dyDescent="0.35">
      <c r="D65" s="34" t="s">
        <v>124</v>
      </c>
      <c r="E65" s="26" t="e">
        <f>VALUE(SUBSTITUTE(Summary!J17," days",""))</f>
        <v>#VALUE!</v>
      </c>
    </row>
    <row r="66" spans="2:5" x14ac:dyDescent="0.35">
      <c r="D66" s="34" t="s">
        <v>125</v>
      </c>
      <c r="E66" s="26" t="e">
        <f>"SE_STD_"&amp;E64&amp;"_"&amp;E65</f>
        <v>#VALUE!</v>
      </c>
    </row>
    <row r="68" spans="2:5" x14ac:dyDescent="0.35">
      <c r="B68" t="s">
        <v>126</v>
      </c>
      <c r="C68">
        <f>MIN(C34,C22)</f>
        <v>65</v>
      </c>
      <c r="D68">
        <f t="shared" ref="D68" si="0">MIN(D34,D22)</f>
        <v>65</v>
      </c>
      <c r="E68">
        <f>MIN(IF(E25=2,70,65),E22)</f>
        <v>65</v>
      </c>
    </row>
    <row r="69" spans="2:5" x14ac:dyDescent="0.35">
      <c r="B69" t="s">
        <v>127</v>
      </c>
      <c r="C69" t="b">
        <f ca="1">$C$11&gt;=C68</f>
        <v>1</v>
      </c>
      <c r="D69" t="b">
        <f ca="1">$C$11&gt;=D68</f>
        <v>1</v>
      </c>
      <c r="E69" t="b">
        <f t="shared" ref="E69" ca="1" si="1">$C$11&gt;=E68</f>
        <v>1</v>
      </c>
    </row>
    <row r="70" spans="2:5" x14ac:dyDescent="0.35">
      <c r="B70" t="s">
        <v>128</v>
      </c>
      <c r="C70" t="b">
        <f ca="1">OR($C$11&lt;15,$C$11&gt;69)</f>
        <v>1</v>
      </c>
      <c r="D70" t="b">
        <f ca="1">OR($C$11&lt;15,$C$11&gt;64)</f>
        <v>1</v>
      </c>
      <c r="E70" t="b">
        <f ca="1">OR($C$11&lt;15,$C$11&gt;64)</f>
        <v>1</v>
      </c>
    </row>
    <row r="71" spans="2:5" x14ac:dyDescent="0.35">
      <c r="B71" t="s">
        <v>129</v>
      </c>
      <c r="C71" t="b">
        <f ca="1">C56&gt;C23</f>
        <v>0</v>
      </c>
      <c r="D71" t="b">
        <f t="shared" ref="D71:E71" ca="1" si="2">D56&gt;D23</f>
        <v>0</v>
      </c>
      <c r="E71" t="b">
        <f t="shared" ca="1" si="2"/>
        <v>0</v>
      </c>
    </row>
  </sheetData>
  <dataConsolidate/>
  <mergeCells count="1">
    <mergeCell ref="K2:N2"/>
  </mergeCells>
  <pageMargins left="0.7" right="0.7" top="0.75" bottom="0.75" header="0.3" footer="0.3"/>
  <pageSetup paperSize="9" orientation="portrait" r:id="rId1"/>
  <ignoredErrors>
    <ignoredError sqref="C31:E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6CA1-7704-4CE9-B1D2-91522271872F}">
  <sheetPr codeName="Sheet4">
    <tabColor rgb="FF00B0F0"/>
  </sheetPr>
  <dimension ref="B2:K61"/>
  <sheetViews>
    <sheetView zoomScaleNormal="100" workbookViewId="0">
      <selection activeCell="B2" sqref="B2"/>
    </sheetView>
  </sheetViews>
  <sheetFormatPr defaultRowHeight="14.5" x14ac:dyDescent="0.35"/>
  <cols>
    <col min="1" max="1" width="5.54296875" customWidth="1"/>
    <col min="2" max="2" width="25.54296875" customWidth="1"/>
    <col min="3" max="7" width="13.1796875" customWidth="1"/>
    <col min="8" max="8" width="5.54296875" customWidth="1"/>
  </cols>
  <sheetData>
    <row r="2" spans="2:11" x14ac:dyDescent="0.35">
      <c r="B2" s="23" t="s">
        <v>43</v>
      </c>
      <c r="C2" s="123" t="s">
        <v>130</v>
      </c>
      <c r="J2" t="s">
        <v>131</v>
      </c>
      <c r="K2">
        <v>2</v>
      </c>
    </row>
    <row r="3" spans="2:11" x14ac:dyDescent="0.35">
      <c r="B3" s="52" t="s">
        <v>132</v>
      </c>
      <c r="C3" s="53">
        <v>1</v>
      </c>
      <c r="J3" t="s">
        <v>133</v>
      </c>
    </row>
    <row r="4" spans="2:11" x14ac:dyDescent="0.35">
      <c r="B4" s="23" t="s">
        <v>46</v>
      </c>
      <c r="C4" s="22">
        <v>1</v>
      </c>
      <c r="D4" s="22">
        <v>2</v>
      </c>
      <c r="E4" s="22">
        <v>3</v>
      </c>
      <c r="F4" s="22">
        <v>4</v>
      </c>
      <c r="G4" s="22">
        <v>5</v>
      </c>
      <c r="J4" t="s">
        <v>134</v>
      </c>
    </row>
    <row r="5" spans="2:11" x14ac:dyDescent="0.35">
      <c r="B5" s="23" t="s">
        <v>135</v>
      </c>
      <c r="C5" s="22" t="s">
        <v>136</v>
      </c>
      <c r="D5" s="22" t="s">
        <v>137</v>
      </c>
      <c r="E5" s="22" t="s">
        <v>138</v>
      </c>
      <c r="F5" s="22" t="s">
        <v>139</v>
      </c>
      <c r="G5" s="22" t="s">
        <v>140</v>
      </c>
      <c r="J5" t="s">
        <v>141</v>
      </c>
    </row>
    <row r="6" spans="2:11" x14ac:dyDescent="0.35">
      <c r="B6" s="23" t="s">
        <v>142</v>
      </c>
      <c r="C6" s="28">
        <v>18</v>
      </c>
      <c r="D6" s="28" t="s">
        <v>143</v>
      </c>
      <c r="E6" s="28" t="s">
        <v>143</v>
      </c>
      <c r="F6" s="28" t="s">
        <v>143</v>
      </c>
      <c r="G6" s="28" t="s">
        <v>143</v>
      </c>
    </row>
    <row r="7" spans="2:11" ht="29" x14ac:dyDescent="0.35">
      <c r="B7" s="23" t="s">
        <v>50</v>
      </c>
      <c r="C7" s="42" t="s">
        <v>144</v>
      </c>
      <c r="D7" s="42" t="s">
        <v>143</v>
      </c>
      <c r="E7" s="42" t="s">
        <v>143</v>
      </c>
      <c r="F7" s="42" t="s">
        <v>143</v>
      </c>
      <c r="G7" s="42" t="s">
        <v>143</v>
      </c>
    </row>
    <row r="8" spans="2:11" x14ac:dyDescent="0.35">
      <c r="B8" s="23" t="s">
        <v>102</v>
      </c>
      <c r="C8" s="42" t="s">
        <v>145</v>
      </c>
      <c r="D8" s="42" t="s">
        <v>143</v>
      </c>
      <c r="E8" s="42" t="s">
        <v>143</v>
      </c>
      <c r="F8" s="42" t="s">
        <v>143</v>
      </c>
      <c r="G8" s="42" t="s">
        <v>143</v>
      </c>
    </row>
    <row r="9" spans="2:11" x14ac:dyDescent="0.35">
      <c r="B9" s="23" t="s">
        <v>146</v>
      </c>
      <c r="C9" s="22" t="s">
        <v>147</v>
      </c>
      <c r="D9" s="22" t="s">
        <v>143</v>
      </c>
      <c r="E9" s="22" t="s">
        <v>143</v>
      </c>
      <c r="F9" s="22" t="s">
        <v>143</v>
      </c>
      <c r="G9" s="22" t="s">
        <v>143</v>
      </c>
    </row>
    <row r="10" spans="2:11" x14ac:dyDescent="0.35">
      <c r="B10" s="41" t="s">
        <v>148</v>
      </c>
      <c r="C10" s="22" t="s">
        <v>88</v>
      </c>
      <c r="D10" s="22" t="s">
        <v>143</v>
      </c>
      <c r="E10" s="22" t="s">
        <v>143</v>
      </c>
      <c r="F10" s="22" t="s">
        <v>143</v>
      </c>
      <c r="G10" s="22" t="s">
        <v>143</v>
      </c>
    </row>
    <row r="11" spans="2:11" x14ac:dyDescent="0.35">
      <c r="B11" s="23" t="s">
        <v>149</v>
      </c>
      <c r="C11" s="22">
        <v>70</v>
      </c>
      <c r="D11" s="22" t="s">
        <v>143</v>
      </c>
      <c r="E11" s="22" t="s">
        <v>143</v>
      </c>
      <c r="F11" s="22" t="s">
        <v>143</v>
      </c>
      <c r="G11" s="22" t="s">
        <v>143</v>
      </c>
    </row>
    <row r="12" spans="2:11" x14ac:dyDescent="0.35">
      <c r="B12" s="47" t="s">
        <v>150</v>
      </c>
      <c r="C12" s="22">
        <v>0</v>
      </c>
      <c r="D12" s="22" t="s">
        <v>143</v>
      </c>
      <c r="E12" s="22" t="s">
        <v>143</v>
      </c>
      <c r="F12" s="22" t="s">
        <v>143</v>
      </c>
      <c r="G12" s="22" t="s">
        <v>143</v>
      </c>
    </row>
    <row r="13" spans="2:11" x14ac:dyDescent="0.35">
      <c r="B13" s="47" t="s">
        <v>151</v>
      </c>
      <c r="C13" s="22">
        <v>0</v>
      </c>
      <c r="D13" s="22" t="s">
        <v>143</v>
      </c>
      <c r="E13" s="22" t="s">
        <v>143</v>
      </c>
      <c r="F13" s="22" t="s">
        <v>143</v>
      </c>
      <c r="G13" s="22" t="s">
        <v>143</v>
      </c>
    </row>
    <row r="14" spans="2:11" x14ac:dyDescent="0.35">
      <c r="B14" s="47" t="s">
        <v>152</v>
      </c>
      <c r="C14" s="22">
        <v>0.15</v>
      </c>
      <c r="D14" s="22" t="s">
        <v>143</v>
      </c>
      <c r="E14" s="22" t="s">
        <v>143</v>
      </c>
      <c r="F14" s="22" t="s">
        <v>143</v>
      </c>
      <c r="G14" s="22" t="s">
        <v>143</v>
      </c>
    </row>
    <row r="15" spans="2:11" x14ac:dyDescent="0.35">
      <c r="B15" s="47" t="s">
        <v>153</v>
      </c>
      <c r="C15" s="22">
        <v>65</v>
      </c>
      <c r="D15" s="22" t="s">
        <v>143</v>
      </c>
      <c r="E15" s="22" t="s">
        <v>143</v>
      </c>
      <c r="F15" s="22" t="s">
        <v>143</v>
      </c>
      <c r="G15" s="22" t="s">
        <v>143</v>
      </c>
    </row>
    <row r="16" spans="2:11" x14ac:dyDescent="0.35">
      <c r="B16" s="47" t="s">
        <v>154</v>
      </c>
      <c r="C16" s="22">
        <v>0</v>
      </c>
      <c r="D16" s="22" t="s">
        <v>143</v>
      </c>
      <c r="E16" s="22" t="s">
        <v>143</v>
      </c>
      <c r="F16" s="22" t="s">
        <v>143</v>
      </c>
      <c r="G16" s="22" t="s">
        <v>143</v>
      </c>
    </row>
    <row r="17" spans="2:7" x14ac:dyDescent="0.35">
      <c r="B17" s="23" t="s">
        <v>155</v>
      </c>
      <c r="C17" s="22">
        <v>1500000</v>
      </c>
      <c r="D17" s="22" t="s">
        <v>143</v>
      </c>
      <c r="E17" s="22" t="s">
        <v>143</v>
      </c>
      <c r="F17" s="22" t="s">
        <v>143</v>
      </c>
      <c r="G17" s="22" t="s">
        <v>143</v>
      </c>
    </row>
    <row r="18" spans="2:7" x14ac:dyDescent="0.35">
      <c r="B18" s="23" t="s">
        <v>156</v>
      </c>
      <c r="C18" s="22">
        <v>999999999</v>
      </c>
      <c r="D18" s="22" t="s">
        <v>143</v>
      </c>
      <c r="E18" s="22" t="s">
        <v>143</v>
      </c>
      <c r="F18" s="22" t="s">
        <v>143</v>
      </c>
      <c r="G18" s="22" t="s">
        <v>143</v>
      </c>
    </row>
    <row r="19" spans="2:7" x14ac:dyDescent="0.35">
      <c r="B19" s="41" t="s">
        <v>157</v>
      </c>
      <c r="C19" s="22" t="s">
        <v>88</v>
      </c>
      <c r="D19" s="22" t="s">
        <v>143</v>
      </c>
      <c r="E19" s="22" t="s">
        <v>143</v>
      </c>
      <c r="F19" s="22" t="s">
        <v>143</v>
      </c>
      <c r="G19" s="22" t="s">
        <v>143</v>
      </c>
    </row>
    <row r="20" spans="2:7" x14ac:dyDescent="0.35">
      <c r="B20" s="23" t="s">
        <v>158</v>
      </c>
      <c r="C20" s="22">
        <v>65</v>
      </c>
      <c r="D20" s="22" t="s">
        <v>143</v>
      </c>
      <c r="E20" s="22" t="s">
        <v>143</v>
      </c>
      <c r="F20" s="22" t="s">
        <v>143</v>
      </c>
      <c r="G20" s="22" t="s">
        <v>143</v>
      </c>
    </row>
    <row r="21" spans="2:7" x14ac:dyDescent="0.35">
      <c r="B21" s="47" t="s">
        <v>159</v>
      </c>
      <c r="C21" s="22">
        <v>0</v>
      </c>
      <c r="D21" s="22" t="s">
        <v>143</v>
      </c>
      <c r="E21" s="22" t="s">
        <v>143</v>
      </c>
      <c r="F21" s="22" t="s">
        <v>143</v>
      </c>
      <c r="G21" s="22" t="s">
        <v>143</v>
      </c>
    </row>
    <row r="22" spans="2:7" x14ac:dyDescent="0.35">
      <c r="B22" s="47" t="s">
        <v>160</v>
      </c>
      <c r="C22" s="22">
        <v>0</v>
      </c>
      <c r="D22" s="22" t="s">
        <v>143</v>
      </c>
      <c r="E22" s="22" t="s">
        <v>143</v>
      </c>
      <c r="F22" s="22" t="s">
        <v>143</v>
      </c>
      <c r="G22" s="22" t="s">
        <v>143</v>
      </c>
    </row>
    <row r="23" spans="2:7" x14ac:dyDescent="0.35">
      <c r="B23" s="47" t="s">
        <v>161</v>
      </c>
      <c r="C23" s="22">
        <v>0.15</v>
      </c>
      <c r="D23" s="22" t="s">
        <v>143</v>
      </c>
      <c r="E23" s="22" t="s">
        <v>143</v>
      </c>
      <c r="F23" s="22" t="s">
        <v>143</v>
      </c>
      <c r="G23" s="22" t="s">
        <v>143</v>
      </c>
    </row>
    <row r="24" spans="2:7" x14ac:dyDescent="0.35">
      <c r="B24" s="47" t="s">
        <v>162</v>
      </c>
      <c r="C24" s="22">
        <v>65</v>
      </c>
      <c r="D24" s="22" t="s">
        <v>143</v>
      </c>
      <c r="E24" s="22" t="s">
        <v>143</v>
      </c>
      <c r="F24" s="22" t="s">
        <v>143</v>
      </c>
      <c r="G24" s="22" t="s">
        <v>143</v>
      </c>
    </row>
    <row r="25" spans="2:7" x14ac:dyDescent="0.35">
      <c r="B25" s="47" t="s">
        <v>163</v>
      </c>
      <c r="C25" s="22">
        <v>0</v>
      </c>
      <c r="D25" s="22" t="s">
        <v>143</v>
      </c>
      <c r="E25" s="22" t="s">
        <v>143</v>
      </c>
      <c r="F25" s="22" t="s">
        <v>143</v>
      </c>
      <c r="G25" s="22" t="s">
        <v>143</v>
      </c>
    </row>
    <row r="26" spans="2:7" x14ac:dyDescent="0.35">
      <c r="B26" s="23" t="s">
        <v>164</v>
      </c>
      <c r="C26" s="22">
        <v>1500000</v>
      </c>
      <c r="D26" s="22" t="s">
        <v>143</v>
      </c>
      <c r="E26" s="22" t="s">
        <v>143</v>
      </c>
      <c r="F26" s="22" t="s">
        <v>143</v>
      </c>
      <c r="G26" s="22" t="s">
        <v>143</v>
      </c>
    </row>
    <row r="27" spans="2:7" x14ac:dyDescent="0.35">
      <c r="B27" s="23" t="s">
        <v>165</v>
      </c>
      <c r="C27" s="22">
        <v>3000000</v>
      </c>
      <c r="D27" s="22" t="s">
        <v>143</v>
      </c>
      <c r="E27" s="22" t="s">
        <v>143</v>
      </c>
      <c r="F27" s="22" t="s">
        <v>143</v>
      </c>
      <c r="G27" s="22" t="s">
        <v>143</v>
      </c>
    </row>
    <row r="28" spans="2:7" x14ac:dyDescent="0.35">
      <c r="B28" s="41" t="s">
        <v>166</v>
      </c>
      <c r="C28" s="22" t="s">
        <v>89</v>
      </c>
      <c r="D28" s="22" t="s">
        <v>143</v>
      </c>
      <c r="E28" s="22" t="s">
        <v>143</v>
      </c>
      <c r="F28" s="22" t="s">
        <v>143</v>
      </c>
      <c r="G28" s="22" t="s">
        <v>143</v>
      </c>
    </row>
    <row r="29" spans="2:7" x14ac:dyDescent="0.35">
      <c r="B29" s="23" t="s">
        <v>167</v>
      </c>
      <c r="C29" s="22">
        <v>70</v>
      </c>
      <c r="D29" s="22" t="s">
        <v>143</v>
      </c>
      <c r="E29" s="22" t="s">
        <v>143</v>
      </c>
      <c r="F29" s="22" t="s">
        <v>143</v>
      </c>
      <c r="G29" s="22" t="s">
        <v>143</v>
      </c>
    </row>
    <row r="30" spans="2:7" x14ac:dyDescent="0.35">
      <c r="B30" s="23" t="s">
        <v>90</v>
      </c>
      <c r="C30" s="22">
        <v>5</v>
      </c>
      <c r="D30" s="22" t="s">
        <v>143</v>
      </c>
      <c r="E30" s="22" t="s">
        <v>143</v>
      </c>
      <c r="F30" s="22" t="s">
        <v>143</v>
      </c>
      <c r="G30" s="22" t="s">
        <v>143</v>
      </c>
    </row>
    <row r="31" spans="2:7" x14ac:dyDescent="0.35">
      <c r="B31" s="23" t="s">
        <v>92</v>
      </c>
      <c r="C31" s="22">
        <v>60</v>
      </c>
      <c r="D31" s="22" t="s">
        <v>143</v>
      </c>
      <c r="E31" s="22" t="s">
        <v>143</v>
      </c>
      <c r="F31" s="22" t="s">
        <v>143</v>
      </c>
      <c r="G31" s="22" t="s">
        <v>143</v>
      </c>
    </row>
    <row r="32" spans="2:7" x14ac:dyDescent="0.35">
      <c r="B32" s="45" t="s">
        <v>168</v>
      </c>
      <c r="C32" s="22">
        <v>0</v>
      </c>
      <c r="D32" s="22" t="s">
        <v>143</v>
      </c>
      <c r="E32" s="22" t="s">
        <v>143</v>
      </c>
      <c r="F32" s="22" t="s">
        <v>143</v>
      </c>
      <c r="G32" s="22" t="s">
        <v>143</v>
      </c>
    </row>
    <row r="33" spans="2:7" x14ac:dyDescent="0.35">
      <c r="B33" s="45" t="s">
        <v>169</v>
      </c>
      <c r="C33" s="22">
        <v>0</v>
      </c>
      <c r="D33" s="22" t="s">
        <v>143</v>
      </c>
      <c r="E33" s="22" t="s">
        <v>143</v>
      </c>
      <c r="F33" s="22" t="s">
        <v>143</v>
      </c>
      <c r="G33" s="22" t="s">
        <v>143</v>
      </c>
    </row>
    <row r="34" spans="2:7" x14ac:dyDescent="0.35">
      <c r="B34" s="45" t="s">
        <v>170</v>
      </c>
      <c r="C34" s="22">
        <v>0.85</v>
      </c>
      <c r="D34" s="22" t="s">
        <v>143</v>
      </c>
      <c r="E34" s="22" t="s">
        <v>143</v>
      </c>
      <c r="F34" s="22" t="s">
        <v>143</v>
      </c>
      <c r="G34" s="22" t="s">
        <v>143</v>
      </c>
    </row>
    <row r="35" spans="2:7" x14ac:dyDescent="0.35">
      <c r="B35" s="23" t="s">
        <v>171</v>
      </c>
      <c r="C35" s="22">
        <v>14000</v>
      </c>
      <c r="D35" s="22" t="s">
        <v>143</v>
      </c>
      <c r="E35" s="22" t="s">
        <v>143</v>
      </c>
      <c r="F35" s="22" t="s">
        <v>143</v>
      </c>
      <c r="G35" s="22" t="s">
        <v>143</v>
      </c>
    </row>
    <row r="36" spans="2:7" x14ac:dyDescent="0.35">
      <c r="B36" s="23" t="s">
        <v>172</v>
      </c>
      <c r="C36" s="22">
        <v>30000</v>
      </c>
      <c r="D36" s="22" t="s">
        <v>143</v>
      </c>
      <c r="E36" s="22" t="s">
        <v>143</v>
      </c>
      <c r="F36" s="22" t="s">
        <v>143</v>
      </c>
      <c r="G36" s="22" t="s">
        <v>143</v>
      </c>
    </row>
    <row r="38" spans="2:7" x14ac:dyDescent="0.35">
      <c r="B38" s="23" t="s">
        <v>71</v>
      </c>
      <c r="C38" s="22" t="s">
        <v>49</v>
      </c>
      <c r="D38" s="22" t="s">
        <v>143</v>
      </c>
      <c r="E38" s="22" t="s">
        <v>143</v>
      </c>
      <c r="F38" s="22" t="s">
        <v>143</v>
      </c>
      <c r="G38" s="22" t="s">
        <v>143</v>
      </c>
    </row>
    <row r="40" spans="2:7" ht="43.5" x14ac:dyDescent="0.35">
      <c r="B40" s="56" t="s">
        <v>173</v>
      </c>
      <c r="C40" s="42" t="s">
        <v>174</v>
      </c>
      <c r="D40" s="42" t="s">
        <v>143</v>
      </c>
      <c r="E40" s="42" t="s">
        <v>143</v>
      </c>
      <c r="F40" s="42" t="s">
        <v>143</v>
      </c>
      <c r="G40" s="42" t="s">
        <v>143</v>
      </c>
    </row>
    <row r="41" spans="2:7" x14ac:dyDescent="0.35">
      <c r="B41" s="54" t="s">
        <v>82</v>
      </c>
      <c r="C41" s="55">
        <v>0</v>
      </c>
      <c r="D41" s="55" t="s">
        <v>143</v>
      </c>
      <c r="E41" s="55" t="s">
        <v>143</v>
      </c>
      <c r="F41" s="55" t="s">
        <v>143</v>
      </c>
      <c r="G41" s="55" t="s">
        <v>143</v>
      </c>
    </row>
    <row r="42" spans="2:7" x14ac:dyDescent="0.35">
      <c r="B42" s="54" t="s">
        <v>80</v>
      </c>
      <c r="C42" s="55" t="s">
        <v>80</v>
      </c>
      <c r="D42" s="55" t="s">
        <v>143</v>
      </c>
      <c r="E42" s="55" t="s">
        <v>143</v>
      </c>
      <c r="F42" s="55" t="s">
        <v>143</v>
      </c>
      <c r="G42" s="55" t="s">
        <v>143</v>
      </c>
    </row>
    <row r="43" spans="2:7" ht="29" x14ac:dyDescent="0.35">
      <c r="B43" s="54" t="s">
        <v>84</v>
      </c>
      <c r="C43" s="49" t="s">
        <v>84</v>
      </c>
      <c r="D43" s="49" t="s">
        <v>143</v>
      </c>
      <c r="E43" s="49" t="s">
        <v>143</v>
      </c>
      <c r="F43" s="49" t="s">
        <v>143</v>
      </c>
      <c r="G43" s="49" t="s">
        <v>143</v>
      </c>
    </row>
    <row r="44" spans="2:7" ht="29" x14ac:dyDescent="0.35">
      <c r="B44" s="54" t="s">
        <v>86</v>
      </c>
      <c r="C44" s="49" t="s">
        <v>84</v>
      </c>
      <c r="D44" s="49" t="s">
        <v>143</v>
      </c>
      <c r="E44" s="49" t="s">
        <v>143</v>
      </c>
      <c r="F44" s="49" t="s">
        <v>143</v>
      </c>
      <c r="G44" s="49" t="s">
        <v>143</v>
      </c>
    </row>
    <row r="45" spans="2:7" ht="43.5" x14ac:dyDescent="0.35">
      <c r="B45" s="54" t="s">
        <v>88</v>
      </c>
      <c r="C45" s="48" t="s">
        <v>174</v>
      </c>
      <c r="D45" s="48" t="s">
        <v>143</v>
      </c>
      <c r="E45" s="48" t="s">
        <v>143</v>
      </c>
      <c r="F45" s="48" t="s">
        <v>143</v>
      </c>
      <c r="G45" s="48" t="s">
        <v>143</v>
      </c>
    </row>
    <row r="46" spans="2:7" x14ac:dyDescent="0.35">
      <c r="B46" s="54" t="s">
        <v>91</v>
      </c>
      <c r="C46" s="48" t="s">
        <v>175</v>
      </c>
      <c r="D46" s="48" t="s">
        <v>143</v>
      </c>
      <c r="E46" s="48" t="s">
        <v>143</v>
      </c>
      <c r="F46" s="48" t="s">
        <v>143</v>
      </c>
      <c r="G46" s="48" t="s">
        <v>143</v>
      </c>
    </row>
    <row r="48" spans="2:7" ht="43.5" x14ac:dyDescent="0.35">
      <c r="B48" s="56" t="s">
        <v>176</v>
      </c>
      <c r="C48" s="42" t="s">
        <v>174</v>
      </c>
      <c r="D48" s="42" t="s">
        <v>143</v>
      </c>
      <c r="E48" s="42" t="s">
        <v>143</v>
      </c>
      <c r="F48" s="42" t="s">
        <v>143</v>
      </c>
      <c r="G48" s="42" t="s">
        <v>143</v>
      </c>
    </row>
    <row r="49" spans="2:11" x14ac:dyDescent="0.35">
      <c r="B49" s="54" t="s">
        <v>82</v>
      </c>
      <c r="C49" s="55">
        <v>0</v>
      </c>
      <c r="D49" s="55" t="s">
        <v>143</v>
      </c>
      <c r="E49" s="55" t="s">
        <v>143</v>
      </c>
      <c r="F49" s="55" t="s">
        <v>143</v>
      </c>
      <c r="G49" s="55" t="s">
        <v>143</v>
      </c>
    </row>
    <row r="50" spans="2:11" x14ac:dyDescent="0.35">
      <c r="B50" s="54" t="s">
        <v>80</v>
      </c>
      <c r="C50" s="55" t="s">
        <v>80</v>
      </c>
      <c r="D50" s="55" t="s">
        <v>143</v>
      </c>
      <c r="E50" s="55" t="s">
        <v>143</v>
      </c>
      <c r="F50" s="55" t="s">
        <v>143</v>
      </c>
      <c r="G50" s="55" t="s">
        <v>143</v>
      </c>
    </row>
    <row r="51" spans="2:11" ht="29" x14ac:dyDescent="0.35">
      <c r="B51" s="54" t="s">
        <v>84</v>
      </c>
      <c r="C51" s="49" t="s">
        <v>84</v>
      </c>
      <c r="D51" s="49" t="s">
        <v>143</v>
      </c>
      <c r="E51" s="49" t="s">
        <v>143</v>
      </c>
      <c r="F51" s="49" t="s">
        <v>143</v>
      </c>
      <c r="G51" s="49" t="s">
        <v>143</v>
      </c>
    </row>
    <row r="52" spans="2:11" ht="29" x14ac:dyDescent="0.35">
      <c r="B52" s="54" t="s">
        <v>86</v>
      </c>
      <c r="C52" s="49" t="s">
        <v>84</v>
      </c>
      <c r="D52" s="49" t="s">
        <v>143</v>
      </c>
      <c r="E52" s="49" t="s">
        <v>143</v>
      </c>
      <c r="F52" s="49" t="s">
        <v>143</v>
      </c>
      <c r="G52" s="49" t="s">
        <v>143</v>
      </c>
    </row>
    <row r="53" spans="2:11" ht="43.5" x14ac:dyDescent="0.35">
      <c r="B53" s="54" t="s">
        <v>88</v>
      </c>
      <c r="C53" s="48" t="s">
        <v>174</v>
      </c>
      <c r="D53" s="48" t="s">
        <v>143</v>
      </c>
      <c r="E53" s="48" t="s">
        <v>143</v>
      </c>
      <c r="F53" s="48" t="s">
        <v>143</v>
      </c>
      <c r="G53" s="48" t="s">
        <v>143</v>
      </c>
    </row>
    <row r="54" spans="2:11" x14ac:dyDescent="0.35">
      <c r="B54" s="54" t="s">
        <v>91</v>
      </c>
      <c r="C54" s="48" t="s">
        <v>175</v>
      </c>
      <c r="D54" s="48" t="s">
        <v>143</v>
      </c>
      <c r="E54" s="48" t="s">
        <v>143</v>
      </c>
      <c r="F54" s="48" t="s">
        <v>143</v>
      </c>
      <c r="G54" s="48" t="s">
        <v>143</v>
      </c>
    </row>
    <row r="56" spans="2:11" x14ac:dyDescent="0.35">
      <c r="B56" s="57" t="s">
        <v>177</v>
      </c>
      <c r="C56" s="42" t="s">
        <v>178</v>
      </c>
      <c r="D56" s="42" t="s">
        <v>143</v>
      </c>
      <c r="E56" s="42" t="s">
        <v>143</v>
      </c>
      <c r="F56" s="42" t="s">
        <v>143</v>
      </c>
      <c r="G56" s="42" t="s">
        <v>143</v>
      </c>
    </row>
    <row r="57" spans="2:11" x14ac:dyDescent="0.35">
      <c r="B57" s="51" t="s">
        <v>82</v>
      </c>
      <c r="C57" s="50">
        <v>0</v>
      </c>
      <c r="D57" s="50" t="s">
        <v>143</v>
      </c>
      <c r="E57" s="50" t="s">
        <v>143</v>
      </c>
      <c r="F57" s="50" t="s">
        <v>143</v>
      </c>
      <c r="G57" s="50" t="s">
        <v>143</v>
      </c>
    </row>
    <row r="58" spans="2:11" x14ac:dyDescent="0.35">
      <c r="B58" s="51" t="s">
        <v>80</v>
      </c>
      <c r="C58" s="50" t="s">
        <v>80</v>
      </c>
      <c r="D58" s="50" t="s">
        <v>143</v>
      </c>
      <c r="E58" s="50" t="s">
        <v>143</v>
      </c>
      <c r="F58" s="50" t="s">
        <v>143</v>
      </c>
      <c r="G58" s="50" t="s">
        <v>143</v>
      </c>
    </row>
    <row r="59" spans="2:11" ht="29" x14ac:dyDescent="0.35">
      <c r="B59" s="51" t="s">
        <v>84</v>
      </c>
      <c r="C59" s="50" t="s">
        <v>84</v>
      </c>
      <c r="D59" s="50" t="s">
        <v>143</v>
      </c>
      <c r="E59" s="50" t="s">
        <v>143</v>
      </c>
      <c r="F59" s="50" t="s">
        <v>143</v>
      </c>
      <c r="G59" s="50" t="s">
        <v>143</v>
      </c>
    </row>
    <row r="60" spans="2:11" ht="29" x14ac:dyDescent="0.35">
      <c r="B60" s="51" t="s">
        <v>86</v>
      </c>
      <c r="C60" s="50" t="s">
        <v>84</v>
      </c>
      <c r="D60" s="50" t="s">
        <v>143</v>
      </c>
      <c r="E60" s="50" t="s">
        <v>143</v>
      </c>
      <c r="F60" s="50" t="s">
        <v>143</v>
      </c>
      <c r="G60" s="50" t="s">
        <v>143</v>
      </c>
    </row>
    <row r="61" spans="2:11" x14ac:dyDescent="0.35">
      <c r="B61" s="51" t="s">
        <v>89</v>
      </c>
      <c r="C61" s="46" t="s">
        <v>178</v>
      </c>
      <c r="D61" s="46" t="s">
        <v>143</v>
      </c>
      <c r="E61" s="46" t="s">
        <v>143</v>
      </c>
      <c r="F61" s="46" t="s">
        <v>143</v>
      </c>
      <c r="G61" s="46" t="s">
        <v>143</v>
      </c>
      <c r="K61" s="101"/>
    </row>
  </sheetData>
  <sheetProtection algorithmName="SHA-512" hashValue="KAIIv+s5JdK+31r22w9WTr8aXJyZjxK6xr8R5kzrHd59pXMyCEgDUwsfpKsR1BUqy0ADEzpc6sdD2rqk5u+Zjg==" saltValue="GFjavWs1OoDfnIjcRU2mrA==" spinCount="100000" sheet="1" objects="1" scenarios="1" selectLockedCells="1" selectUnlockedCells="1"/>
  <dataValidations count="1">
    <dataValidation type="list" allowBlank="1" showInputMessage="1" showErrorMessage="1" sqref="C2" xr:uid="{D12B2A48-CEA8-40D9-88EB-C8DB77A1D770}">
      <formula1>OFFSET(#REF!,0,0,#REF!)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2A8-577C-4E08-9912-8C4E69C0A044}">
  <sheetPr codeName="Sheet8">
    <tabColor rgb="FF00B0F0"/>
  </sheetPr>
  <dimension ref="A1:L68"/>
  <sheetViews>
    <sheetView workbookViewId="0">
      <selection activeCell="K9" sqref="K9"/>
    </sheetView>
  </sheetViews>
  <sheetFormatPr defaultColWidth="8.81640625" defaultRowHeight="14.5" x14ac:dyDescent="0.35"/>
  <cols>
    <col min="1" max="12" width="13.1796875" customWidth="1"/>
  </cols>
  <sheetData>
    <row r="1" spans="1:12" ht="21" customHeight="1" x14ac:dyDescent="0.5">
      <c r="A1" s="4" t="s">
        <v>179</v>
      </c>
      <c r="B1" s="5"/>
      <c r="C1" s="6"/>
      <c r="D1" s="6"/>
      <c r="E1" s="6"/>
      <c r="F1" s="6"/>
      <c r="G1" s="6"/>
      <c r="H1" s="6"/>
      <c r="I1" s="6"/>
      <c r="J1" s="6"/>
      <c r="K1" s="6"/>
      <c r="L1" s="6"/>
    </row>
    <row r="2" spans="1:12" x14ac:dyDescent="0.35">
      <c r="A2" s="7" t="s">
        <v>180</v>
      </c>
      <c r="B2" s="3"/>
    </row>
    <row r="3" spans="1:12" x14ac:dyDescent="0.35">
      <c r="A3" s="1" t="s">
        <v>181</v>
      </c>
    </row>
    <row r="4" spans="1:12" x14ac:dyDescent="0.35">
      <c r="A4" s="147" t="s">
        <v>182</v>
      </c>
      <c r="B4" s="150" t="s">
        <v>183</v>
      </c>
      <c r="C4" s="151"/>
      <c r="D4" s="152" t="s">
        <v>184</v>
      </c>
      <c r="E4" s="152"/>
      <c r="F4" s="152"/>
      <c r="G4" s="153" t="s">
        <v>185</v>
      </c>
      <c r="H4" s="153"/>
      <c r="I4" s="153"/>
      <c r="J4" s="154" t="s">
        <v>186</v>
      </c>
      <c r="K4" s="154"/>
      <c r="L4" s="154"/>
    </row>
    <row r="5" spans="1:12" x14ac:dyDescent="0.35">
      <c r="A5" s="148"/>
      <c r="B5" s="8" t="s">
        <v>187</v>
      </c>
      <c r="C5" s="8" t="s">
        <v>56</v>
      </c>
      <c r="D5" s="9" t="s">
        <v>188</v>
      </c>
      <c r="E5" s="9" t="s">
        <v>189</v>
      </c>
      <c r="F5" s="9" t="s">
        <v>190</v>
      </c>
      <c r="G5" s="10" t="s">
        <v>188</v>
      </c>
      <c r="H5" s="10" t="s">
        <v>189</v>
      </c>
      <c r="I5" s="10" t="s">
        <v>190</v>
      </c>
      <c r="J5" s="11" t="s">
        <v>188</v>
      </c>
      <c r="K5" s="11" t="s">
        <v>189</v>
      </c>
      <c r="L5" s="24" t="s">
        <v>190</v>
      </c>
    </row>
    <row r="6" spans="1:12" x14ac:dyDescent="0.35">
      <c r="A6" s="149"/>
      <c r="B6" s="12" t="s">
        <v>18</v>
      </c>
      <c r="C6" s="12" t="s">
        <v>18</v>
      </c>
      <c r="D6" s="13" t="s">
        <v>18</v>
      </c>
      <c r="E6" s="13" t="s">
        <v>18</v>
      </c>
      <c r="F6" s="13" t="s">
        <v>18</v>
      </c>
      <c r="G6" s="14" t="s">
        <v>18</v>
      </c>
      <c r="H6" s="14" t="s">
        <v>18</v>
      </c>
      <c r="I6" s="14" t="s">
        <v>18</v>
      </c>
      <c r="J6" s="15" t="s">
        <v>18</v>
      </c>
      <c r="K6" s="15" t="s">
        <v>18</v>
      </c>
      <c r="L6" s="15" t="s">
        <v>18</v>
      </c>
    </row>
    <row r="7" spans="1:12" x14ac:dyDescent="0.35">
      <c r="A7" s="16"/>
      <c r="B7" s="17" t="s">
        <v>111</v>
      </c>
      <c r="C7" s="17" t="s">
        <v>112</v>
      </c>
      <c r="D7" s="17" t="s">
        <v>191</v>
      </c>
      <c r="E7" s="17" t="s">
        <v>192</v>
      </c>
      <c r="F7" s="17" t="s">
        <v>193</v>
      </c>
      <c r="G7" s="17" t="s">
        <v>194</v>
      </c>
      <c r="H7" s="17" t="s">
        <v>195</v>
      </c>
      <c r="I7" s="17" t="s">
        <v>196</v>
      </c>
      <c r="J7" s="17" t="s">
        <v>197</v>
      </c>
      <c r="K7" s="17" t="s">
        <v>198</v>
      </c>
      <c r="L7" s="17" t="s">
        <v>199</v>
      </c>
    </row>
    <row r="8" spans="1:12" x14ac:dyDescent="0.35">
      <c r="A8" s="18">
        <v>15</v>
      </c>
      <c r="B8" s="19">
        <v>5.9040000000000002E-2</v>
      </c>
      <c r="C8" s="19">
        <v>4.104E-2</v>
      </c>
      <c r="D8" s="20">
        <v>4.5359999999999998E-2</v>
      </c>
      <c r="E8" s="44">
        <v>1.4489999999999999E-2</v>
      </c>
      <c r="F8" s="20">
        <v>1.197E-2</v>
      </c>
      <c r="G8" s="20">
        <v>0.1134</v>
      </c>
      <c r="H8" s="20">
        <v>7.8119999999999995E-2</v>
      </c>
      <c r="I8" s="20">
        <v>6.4890000000000003E-2</v>
      </c>
      <c r="J8" s="20">
        <v>0.27783000000000002</v>
      </c>
      <c r="K8" s="20">
        <v>0.20286000000000001</v>
      </c>
      <c r="L8" s="20">
        <v>0.17954999999999999</v>
      </c>
    </row>
    <row r="9" spans="1:12" x14ac:dyDescent="0.35">
      <c r="A9" s="21">
        <v>16</v>
      </c>
      <c r="B9" s="19">
        <v>5.9040000000000002E-2</v>
      </c>
      <c r="C9" s="19">
        <v>4.104E-2</v>
      </c>
      <c r="D9" s="20">
        <v>4.5359999999999998E-2</v>
      </c>
      <c r="E9" s="44">
        <v>1.4489999999999999E-2</v>
      </c>
      <c r="F9" s="20">
        <v>1.197E-2</v>
      </c>
      <c r="G9" s="20">
        <v>0.1134</v>
      </c>
      <c r="H9" s="20">
        <v>7.8119999999999995E-2</v>
      </c>
      <c r="I9" s="20">
        <v>6.4890000000000003E-2</v>
      </c>
      <c r="J9" s="20">
        <v>0.27783000000000002</v>
      </c>
      <c r="K9" s="20">
        <v>0.20286000000000001</v>
      </c>
      <c r="L9" s="20">
        <v>0.17954999999999999</v>
      </c>
    </row>
    <row r="10" spans="1:12" x14ac:dyDescent="0.35">
      <c r="A10" s="21">
        <v>17</v>
      </c>
      <c r="B10" s="19">
        <v>5.9040000000000002E-2</v>
      </c>
      <c r="C10" s="19">
        <v>4.104E-2</v>
      </c>
      <c r="D10" s="20">
        <v>4.5359999999999998E-2</v>
      </c>
      <c r="E10" s="44">
        <v>1.4489999999999999E-2</v>
      </c>
      <c r="F10" s="20">
        <v>1.197E-2</v>
      </c>
      <c r="G10" s="20">
        <v>0.1134</v>
      </c>
      <c r="H10" s="20">
        <v>7.8119999999999995E-2</v>
      </c>
      <c r="I10" s="20">
        <v>6.4890000000000003E-2</v>
      </c>
      <c r="J10" s="20">
        <v>0.27783000000000002</v>
      </c>
      <c r="K10" s="20">
        <v>0.20286000000000001</v>
      </c>
      <c r="L10" s="20">
        <v>0.17954999999999999</v>
      </c>
    </row>
    <row r="11" spans="1:12" x14ac:dyDescent="0.35">
      <c r="A11" s="21">
        <v>18</v>
      </c>
      <c r="B11" s="19">
        <v>5.9040000000000002E-2</v>
      </c>
      <c r="C11" s="19">
        <v>4.104E-2</v>
      </c>
      <c r="D11" s="20">
        <v>4.5359999999999998E-2</v>
      </c>
      <c r="E11" s="44">
        <v>1.4489999999999999E-2</v>
      </c>
      <c r="F11" s="20">
        <v>1.197E-2</v>
      </c>
      <c r="G11" s="20">
        <v>0.11277</v>
      </c>
      <c r="H11" s="20">
        <v>7.8119999999999995E-2</v>
      </c>
      <c r="I11" s="20">
        <v>6.4890000000000003E-2</v>
      </c>
      <c r="J11" s="20">
        <v>0.27783000000000002</v>
      </c>
      <c r="K11" s="20">
        <v>0.20286000000000001</v>
      </c>
      <c r="L11" s="20">
        <v>0.17954999999999999</v>
      </c>
    </row>
    <row r="12" spans="1:12" x14ac:dyDescent="0.35">
      <c r="A12" s="21">
        <v>19</v>
      </c>
      <c r="B12" s="19">
        <v>5.9760000000000001E-2</v>
      </c>
      <c r="C12" s="19">
        <v>4.104E-2</v>
      </c>
      <c r="D12" s="20">
        <v>4.5359999999999998E-2</v>
      </c>
      <c r="E12" s="44">
        <v>1.4489999999999999E-2</v>
      </c>
      <c r="F12" s="20">
        <v>1.197E-2</v>
      </c>
      <c r="G12" s="20">
        <v>0.11277</v>
      </c>
      <c r="H12" s="20">
        <v>7.8119999999999995E-2</v>
      </c>
      <c r="I12" s="20">
        <v>6.4890000000000003E-2</v>
      </c>
      <c r="J12" s="20">
        <v>0.27783000000000002</v>
      </c>
      <c r="K12" s="20">
        <v>0.20286000000000001</v>
      </c>
      <c r="L12" s="20">
        <v>0.17954999999999999</v>
      </c>
    </row>
    <row r="13" spans="1:12" x14ac:dyDescent="0.35">
      <c r="A13" s="21">
        <v>20</v>
      </c>
      <c r="B13" s="19">
        <v>5.9760000000000001E-2</v>
      </c>
      <c r="C13" s="19">
        <v>4.104E-2</v>
      </c>
      <c r="D13" s="20">
        <v>4.5359999999999998E-2</v>
      </c>
      <c r="E13" s="44">
        <v>1.4489999999999999E-2</v>
      </c>
      <c r="F13" s="20">
        <v>1.197E-2</v>
      </c>
      <c r="G13" s="20">
        <v>0.11277</v>
      </c>
      <c r="H13" s="20">
        <v>7.8119999999999995E-2</v>
      </c>
      <c r="I13" s="20">
        <v>6.4890000000000003E-2</v>
      </c>
      <c r="J13" s="20">
        <v>0.27783000000000002</v>
      </c>
      <c r="K13" s="20">
        <v>0.20286000000000001</v>
      </c>
      <c r="L13" s="20">
        <v>0.17954999999999999</v>
      </c>
    </row>
    <row r="14" spans="1:12" x14ac:dyDescent="0.35">
      <c r="A14" s="21">
        <v>21</v>
      </c>
      <c r="B14" s="19">
        <v>6.0479999999999999E-2</v>
      </c>
      <c r="C14" s="19">
        <v>4.1759999999999999E-2</v>
      </c>
      <c r="D14" s="20">
        <v>4.5359999999999998E-2</v>
      </c>
      <c r="E14" s="44">
        <v>1.7010000000000001E-2</v>
      </c>
      <c r="F14" s="20">
        <v>1.4489999999999999E-2</v>
      </c>
      <c r="G14" s="20">
        <v>0.11466</v>
      </c>
      <c r="H14" s="20">
        <v>7.9380000000000006E-2</v>
      </c>
      <c r="I14" s="20">
        <v>6.5519999999999995E-2</v>
      </c>
      <c r="J14" s="20">
        <v>0.28476000000000001</v>
      </c>
      <c r="K14" s="20">
        <v>0.2079</v>
      </c>
      <c r="L14" s="20">
        <v>0.18395999999999998</v>
      </c>
    </row>
    <row r="15" spans="1:12" x14ac:dyDescent="0.35">
      <c r="A15" s="21">
        <v>22</v>
      </c>
      <c r="B15" s="19">
        <v>6.1200000000000004E-2</v>
      </c>
      <c r="C15" s="19">
        <v>4.1759999999999999E-2</v>
      </c>
      <c r="D15" s="20">
        <v>4.5989999999999996E-2</v>
      </c>
      <c r="E15" s="44">
        <v>1.9529999999999999E-2</v>
      </c>
      <c r="F15" s="20">
        <v>1.575E-2</v>
      </c>
      <c r="G15" s="20">
        <v>0.11655</v>
      </c>
      <c r="H15" s="20">
        <v>8.0640000000000003E-2</v>
      </c>
      <c r="I15" s="20">
        <v>6.6779999999999992E-2</v>
      </c>
      <c r="J15" s="20">
        <v>0.29295000000000004</v>
      </c>
      <c r="K15" s="20">
        <v>0.21357000000000001</v>
      </c>
      <c r="L15" s="20">
        <v>0.189</v>
      </c>
    </row>
    <row r="16" spans="1:12" x14ac:dyDescent="0.35">
      <c r="A16" s="21">
        <v>23</v>
      </c>
      <c r="B16" s="19">
        <v>6.1919999999999996E-2</v>
      </c>
      <c r="C16" s="19">
        <v>4.1759999999999999E-2</v>
      </c>
      <c r="D16" s="20">
        <v>4.725E-2</v>
      </c>
      <c r="E16" s="44">
        <v>2.1420000000000002E-2</v>
      </c>
      <c r="F16" s="20">
        <v>1.8270000000000002E-2</v>
      </c>
      <c r="G16" s="20">
        <v>0.11907</v>
      </c>
      <c r="H16" s="20">
        <v>8.1900000000000001E-2</v>
      </c>
      <c r="I16" s="20">
        <v>6.8040000000000003E-2</v>
      </c>
      <c r="J16" s="20">
        <v>0.30051</v>
      </c>
      <c r="K16" s="20">
        <v>0.21861</v>
      </c>
      <c r="L16" s="20">
        <v>0.19403999999999999</v>
      </c>
    </row>
    <row r="17" spans="1:12" x14ac:dyDescent="0.35">
      <c r="A17" s="21">
        <v>24</v>
      </c>
      <c r="B17" s="19">
        <v>6.336E-2</v>
      </c>
      <c r="C17" s="19">
        <v>4.2479999999999997E-2</v>
      </c>
      <c r="D17" s="20">
        <v>4.8509999999999998E-2</v>
      </c>
      <c r="E17" s="44">
        <v>2.4570000000000002E-2</v>
      </c>
      <c r="F17" s="20">
        <v>2.0789999999999999E-2</v>
      </c>
      <c r="G17" s="20">
        <v>0.12096</v>
      </c>
      <c r="H17" s="20">
        <v>8.3159999999999998E-2</v>
      </c>
      <c r="I17" s="20">
        <v>6.93E-2</v>
      </c>
      <c r="J17" s="20">
        <v>0.30807000000000001</v>
      </c>
      <c r="K17" s="20">
        <v>0.22427999999999998</v>
      </c>
      <c r="L17" s="20">
        <v>0.19845000000000002</v>
      </c>
    </row>
    <row r="18" spans="1:12" x14ac:dyDescent="0.35">
      <c r="A18" s="21">
        <v>25</v>
      </c>
      <c r="B18" s="19">
        <v>6.4799999999999996E-2</v>
      </c>
      <c r="C18" s="19">
        <v>3.8159999999999999E-2</v>
      </c>
      <c r="D18" s="20">
        <v>5.04E-2</v>
      </c>
      <c r="E18" s="44">
        <v>2.6460000000000001E-2</v>
      </c>
      <c r="F18" s="20">
        <v>2.52E-2</v>
      </c>
      <c r="G18" s="20">
        <v>0.12411000000000001</v>
      </c>
      <c r="H18" s="20">
        <v>8.5680000000000006E-2</v>
      </c>
      <c r="I18" s="20">
        <v>7.1190000000000003E-2</v>
      </c>
      <c r="J18" s="20">
        <v>0.31814999999999999</v>
      </c>
      <c r="K18" s="20">
        <v>0.23183999999999999</v>
      </c>
      <c r="L18" s="20">
        <v>0.20538000000000001</v>
      </c>
    </row>
    <row r="19" spans="1:12" x14ac:dyDescent="0.35">
      <c r="A19" s="21">
        <v>26</v>
      </c>
      <c r="B19" s="19">
        <v>6.6239999999999993E-2</v>
      </c>
      <c r="C19" s="19">
        <v>4.0320000000000002E-2</v>
      </c>
      <c r="D19" s="20">
        <v>5.2290000000000003E-2</v>
      </c>
      <c r="E19" s="44">
        <v>2.9610000000000001E-2</v>
      </c>
      <c r="F19" s="20">
        <v>2.52E-2</v>
      </c>
      <c r="G19" s="20">
        <v>0.12537000000000001</v>
      </c>
      <c r="H19" s="20">
        <v>8.6310000000000012E-2</v>
      </c>
      <c r="I19" s="20">
        <v>7.1820000000000009E-2</v>
      </c>
      <c r="J19" s="20">
        <v>0.32445000000000002</v>
      </c>
      <c r="K19" s="20">
        <v>0.23562</v>
      </c>
      <c r="L19" s="20">
        <v>0.20853000000000002</v>
      </c>
    </row>
    <row r="20" spans="1:12" x14ac:dyDescent="0.35">
      <c r="A20" s="21">
        <v>27</v>
      </c>
      <c r="B20" s="19">
        <v>6.8400000000000002E-2</v>
      </c>
      <c r="C20" s="19">
        <v>4.2479999999999997E-2</v>
      </c>
      <c r="D20" s="20">
        <v>5.4809999999999998E-2</v>
      </c>
      <c r="E20" s="44">
        <v>3.2129999999999999E-2</v>
      </c>
      <c r="F20" s="20">
        <v>2.7719999999999998E-2</v>
      </c>
      <c r="G20" s="20">
        <v>0.12726000000000001</v>
      </c>
      <c r="H20" s="20">
        <v>8.7570000000000009E-2</v>
      </c>
      <c r="I20" s="20">
        <v>7.2450000000000001E-2</v>
      </c>
      <c r="J20" s="20">
        <v>0.33138000000000001</v>
      </c>
      <c r="K20" s="20">
        <v>0.2394</v>
      </c>
      <c r="L20" s="20">
        <v>0.21231000000000003</v>
      </c>
    </row>
    <row r="21" spans="1:12" x14ac:dyDescent="0.35">
      <c r="A21" s="21">
        <v>28</v>
      </c>
      <c r="B21" s="19">
        <v>7.0559999999999998E-2</v>
      </c>
      <c r="C21" s="19">
        <v>4.5359999999999998E-2</v>
      </c>
      <c r="D21" s="20">
        <v>5.7329999999999999E-2</v>
      </c>
      <c r="E21" s="44">
        <v>3.5279999999999999E-2</v>
      </c>
      <c r="F21" s="20">
        <v>3.024E-2</v>
      </c>
      <c r="G21" s="20">
        <v>0.12978000000000001</v>
      </c>
      <c r="H21" s="20">
        <v>8.8829999999999992E-2</v>
      </c>
      <c r="I21" s="20">
        <v>7.3710000000000012E-2</v>
      </c>
      <c r="J21" s="20">
        <v>0.3402</v>
      </c>
      <c r="K21" s="20">
        <v>0.24381</v>
      </c>
      <c r="L21" s="20">
        <v>0.21672</v>
      </c>
    </row>
    <row r="22" spans="1:12" x14ac:dyDescent="0.35">
      <c r="A22" s="21">
        <v>29</v>
      </c>
      <c r="B22" s="19">
        <v>7.3439999999999991E-2</v>
      </c>
      <c r="C22" s="19">
        <v>5.04E-2</v>
      </c>
      <c r="D22" s="20">
        <v>5.985E-2</v>
      </c>
      <c r="E22" s="44">
        <v>3.8429999999999999E-2</v>
      </c>
      <c r="F22" s="20">
        <v>3.2759999999999997E-2</v>
      </c>
      <c r="G22" s="20">
        <v>0.1323</v>
      </c>
      <c r="H22" s="20">
        <v>9.0719999999999995E-2</v>
      </c>
      <c r="I22" s="20">
        <v>7.4969999999999995E-2</v>
      </c>
      <c r="J22" s="20">
        <v>0.34965000000000002</v>
      </c>
      <c r="K22" s="20">
        <v>0.24885000000000002</v>
      </c>
      <c r="L22" s="20">
        <v>0.22112999999999999</v>
      </c>
    </row>
    <row r="23" spans="1:12" x14ac:dyDescent="0.35">
      <c r="A23" s="21">
        <v>30</v>
      </c>
      <c r="B23" s="19">
        <v>7.5600000000000001E-2</v>
      </c>
      <c r="C23" s="19">
        <v>5.4719999999999998E-2</v>
      </c>
      <c r="D23" s="20">
        <v>6.3E-2</v>
      </c>
      <c r="E23" s="44">
        <v>4.3470000000000002E-2</v>
      </c>
      <c r="F23" s="20">
        <v>3.5279999999999999E-2</v>
      </c>
      <c r="G23" s="20">
        <v>0.13608000000000001</v>
      </c>
      <c r="H23" s="20">
        <v>9.2609999999999998E-2</v>
      </c>
      <c r="I23" s="20">
        <v>7.6859999999999998E-2</v>
      </c>
      <c r="J23" s="20">
        <v>0.36035999999999996</v>
      </c>
      <c r="K23" s="20">
        <v>0.25515000000000004</v>
      </c>
      <c r="L23" s="20">
        <v>0.22616999999999998</v>
      </c>
    </row>
    <row r="24" spans="1:12" x14ac:dyDescent="0.35">
      <c r="A24" s="21">
        <v>31</v>
      </c>
      <c r="B24" s="19">
        <v>7.8479999999999994E-2</v>
      </c>
      <c r="C24" s="19">
        <v>5.9760000000000001E-2</v>
      </c>
      <c r="D24" s="20">
        <v>6.615E-2</v>
      </c>
      <c r="E24" s="44">
        <v>4.725E-2</v>
      </c>
      <c r="F24" s="20">
        <v>3.9059999999999997E-2</v>
      </c>
      <c r="G24" s="20">
        <v>0.14112</v>
      </c>
      <c r="H24" s="20">
        <v>9.5129999999999992E-2</v>
      </c>
      <c r="I24" s="20">
        <v>7.8750000000000001E-2</v>
      </c>
      <c r="J24" s="20">
        <v>0.37484999999999996</v>
      </c>
      <c r="K24" s="20">
        <v>0.26334000000000002</v>
      </c>
      <c r="L24" s="20">
        <v>0.23372999999999999</v>
      </c>
    </row>
    <row r="25" spans="1:12" x14ac:dyDescent="0.35">
      <c r="A25" s="21">
        <v>32</v>
      </c>
      <c r="B25" s="19">
        <v>8.208E-2</v>
      </c>
      <c r="C25" s="19">
        <v>6.6959999999999992E-2</v>
      </c>
      <c r="D25" s="20">
        <v>6.93E-2</v>
      </c>
      <c r="E25" s="44">
        <v>5.2290000000000003E-2</v>
      </c>
      <c r="F25" s="20">
        <v>4.3470000000000002E-2</v>
      </c>
      <c r="G25" s="20">
        <v>0.14616000000000001</v>
      </c>
      <c r="H25" s="20">
        <v>9.8280000000000006E-2</v>
      </c>
      <c r="I25" s="20">
        <v>8.1270000000000009E-2</v>
      </c>
      <c r="J25" s="20">
        <v>0.3906</v>
      </c>
      <c r="K25" s="20">
        <v>0.27278999999999998</v>
      </c>
      <c r="L25" s="20">
        <v>0.24192</v>
      </c>
    </row>
    <row r="26" spans="1:12" x14ac:dyDescent="0.35">
      <c r="A26" s="21">
        <v>33</v>
      </c>
      <c r="B26" s="19">
        <v>8.5679999999999992E-2</v>
      </c>
      <c r="C26" s="19">
        <v>7.415999999999999E-2</v>
      </c>
      <c r="D26" s="20">
        <v>7.3710000000000012E-2</v>
      </c>
      <c r="E26" s="44">
        <v>5.67E-2</v>
      </c>
      <c r="F26" s="20">
        <v>4.725E-2</v>
      </c>
      <c r="G26" s="20">
        <v>0.15245999999999998</v>
      </c>
      <c r="H26" s="20">
        <v>0.10206</v>
      </c>
      <c r="I26" s="20">
        <v>8.4420000000000009E-2</v>
      </c>
      <c r="J26" s="20">
        <v>0.40823999999999999</v>
      </c>
      <c r="K26" s="20">
        <v>0.28412999999999999</v>
      </c>
      <c r="L26" s="20">
        <v>0.25137000000000004</v>
      </c>
    </row>
    <row r="27" spans="1:12" x14ac:dyDescent="0.35">
      <c r="A27" s="21">
        <v>34</v>
      </c>
      <c r="B27" s="19">
        <v>8.9279999999999998E-2</v>
      </c>
      <c r="C27" s="19">
        <v>8.2799999999999999E-2</v>
      </c>
      <c r="D27" s="20">
        <v>7.7490000000000003E-2</v>
      </c>
      <c r="E27" s="44">
        <v>6.1740000000000003E-2</v>
      </c>
      <c r="F27" s="20">
        <v>5.2290000000000003E-2</v>
      </c>
      <c r="G27" s="20">
        <v>0.16002</v>
      </c>
      <c r="H27" s="20">
        <v>0.10710000000000001</v>
      </c>
      <c r="I27" s="20">
        <v>8.8829999999999992E-2</v>
      </c>
      <c r="J27" s="20">
        <v>0.42966000000000004</v>
      </c>
      <c r="K27" s="20">
        <v>0.29798999999999998</v>
      </c>
      <c r="L27" s="20">
        <v>0.26396999999999998</v>
      </c>
    </row>
    <row r="28" spans="1:12" x14ac:dyDescent="0.35">
      <c r="A28" s="21">
        <v>35</v>
      </c>
      <c r="B28" s="19">
        <v>9.4320000000000001E-2</v>
      </c>
      <c r="C28" s="19">
        <v>9.1439999999999994E-2</v>
      </c>
      <c r="D28" s="20">
        <v>8.1900000000000001E-2</v>
      </c>
      <c r="E28" s="44">
        <v>6.6779999999999992E-2</v>
      </c>
      <c r="F28" s="20">
        <v>5.67E-2</v>
      </c>
      <c r="G28" s="20">
        <v>0.16821</v>
      </c>
      <c r="H28" s="20">
        <v>0.11213999999999999</v>
      </c>
      <c r="I28" s="20">
        <v>9.323999999999999E-2</v>
      </c>
      <c r="J28" s="20">
        <v>0.45233999999999996</v>
      </c>
      <c r="K28" s="20">
        <v>0.31311</v>
      </c>
      <c r="L28" s="20">
        <v>0.27783000000000002</v>
      </c>
    </row>
    <row r="29" spans="1:12" x14ac:dyDescent="0.35">
      <c r="A29" s="21">
        <v>36</v>
      </c>
      <c r="B29" s="19">
        <v>9.9360000000000004E-2</v>
      </c>
      <c r="C29" s="19">
        <v>0.10223999999999998</v>
      </c>
      <c r="D29" s="20">
        <v>8.6940000000000003E-2</v>
      </c>
      <c r="E29" s="44">
        <v>7.1820000000000009E-2</v>
      </c>
      <c r="F29" s="20">
        <v>6.0479999999999999E-2</v>
      </c>
      <c r="G29" s="20">
        <v>0.17703000000000002</v>
      </c>
      <c r="H29" s="20">
        <v>0.11844</v>
      </c>
      <c r="I29" s="20">
        <v>9.8280000000000006E-2</v>
      </c>
      <c r="J29" s="20">
        <v>0.47627999999999998</v>
      </c>
      <c r="K29" s="20">
        <v>0.33012000000000002</v>
      </c>
      <c r="L29" s="20">
        <v>0.29232000000000002</v>
      </c>
    </row>
    <row r="30" spans="1:12" x14ac:dyDescent="0.35">
      <c r="A30" s="21">
        <v>37</v>
      </c>
      <c r="B30" s="19">
        <v>0.10511999999999999</v>
      </c>
      <c r="C30" s="19">
        <v>0.11304</v>
      </c>
      <c r="D30" s="20">
        <v>9.1979999999999992E-2</v>
      </c>
      <c r="E30" s="44">
        <v>7.6859999999999998E-2</v>
      </c>
      <c r="F30" s="20">
        <v>6.4259999999999998E-2</v>
      </c>
      <c r="G30" s="20">
        <v>0.18711</v>
      </c>
      <c r="H30" s="20">
        <v>0.126</v>
      </c>
      <c r="I30" s="20">
        <v>0.10458000000000001</v>
      </c>
      <c r="J30" s="20">
        <v>0.50148000000000004</v>
      </c>
      <c r="K30" s="20">
        <v>0.34902000000000005</v>
      </c>
      <c r="L30" s="20">
        <v>0.30932999999999999</v>
      </c>
    </row>
    <row r="31" spans="1:12" x14ac:dyDescent="0.35">
      <c r="A31" s="21">
        <v>38</v>
      </c>
      <c r="B31" s="19">
        <v>0.11159999999999999</v>
      </c>
      <c r="C31" s="19">
        <v>0.12527999999999997</v>
      </c>
      <c r="D31" s="20">
        <v>9.7650000000000001E-2</v>
      </c>
      <c r="E31" s="44">
        <v>8.2530000000000006E-2</v>
      </c>
      <c r="F31" s="20">
        <v>6.8040000000000003E-2</v>
      </c>
      <c r="G31" s="20">
        <v>0.19845000000000002</v>
      </c>
      <c r="H31" s="20">
        <v>0.13419</v>
      </c>
      <c r="I31" s="20">
        <v>0.11151</v>
      </c>
      <c r="J31" s="20">
        <v>0.52856999999999998</v>
      </c>
      <c r="K31" s="20">
        <v>0.36918000000000001</v>
      </c>
      <c r="L31" s="20">
        <v>0.3276</v>
      </c>
    </row>
    <row r="32" spans="1:12" x14ac:dyDescent="0.35">
      <c r="A32" s="21">
        <v>39</v>
      </c>
      <c r="B32" s="19">
        <v>0.11808</v>
      </c>
      <c r="C32" s="19">
        <v>0.13968</v>
      </c>
      <c r="D32" s="20">
        <v>0.10395</v>
      </c>
      <c r="E32" s="44">
        <v>8.8200000000000014E-2</v>
      </c>
      <c r="F32" s="20">
        <v>7.3710000000000012E-2</v>
      </c>
      <c r="G32" s="20">
        <v>0.21105000000000002</v>
      </c>
      <c r="H32" s="20">
        <v>0.14364000000000002</v>
      </c>
      <c r="I32" s="20">
        <v>0.1197</v>
      </c>
      <c r="J32" s="20">
        <v>0.55691999999999997</v>
      </c>
      <c r="K32" s="20">
        <v>0.39123000000000002</v>
      </c>
      <c r="L32" s="20">
        <v>0.34713000000000005</v>
      </c>
    </row>
    <row r="33" spans="1:12" x14ac:dyDescent="0.35">
      <c r="A33" s="21">
        <v>40</v>
      </c>
      <c r="B33" s="19">
        <v>0.12672</v>
      </c>
      <c r="C33" s="19">
        <v>0.15479999999999999</v>
      </c>
      <c r="D33" s="20">
        <v>0.11024999999999999</v>
      </c>
      <c r="E33" s="44">
        <v>9.5129999999999992E-2</v>
      </c>
      <c r="F33" s="20">
        <v>7.8750000000000001E-2</v>
      </c>
      <c r="G33" s="20">
        <v>0.22427999999999998</v>
      </c>
      <c r="H33" s="20">
        <v>0.15498000000000001</v>
      </c>
      <c r="I33" s="20">
        <v>0.12852</v>
      </c>
      <c r="J33" s="20">
        <v>0.58653</v>
      </c>
      <c r="K33" s="20">
        <v>0.4158</v>
      </c>
      <c r="L33" s="20">
        <v>0.36854999999999999</v>
      </c>
    </row>
    <row r="34" spans="1:12" x14ac:dyDescent="0.35">
      <c r="A34" s="21">
        <v>41</v>
      </c>
      <c r="B34" s="19">
        <v>0.13463999999999998</v>
      </c>
      <c r="C34" s="19">
        <v>0.17207999999999998</v>
      </c>
      <c r="D34" s="20">
        <v>0.11781</v>
      </c>
      <c r="E34" s="44">
        <v>0.10143000000000001</v>
      </c>
      <c r="F34" s="20">
        <v>8.5050000000000001E-2</v>
      </c>
      <c r="G34" s="20">
        <v>0.2394</v>
      </c>
      <c r="H34" s="20">
        <v>0.16695000000000002</v>
      </c>
      <c r="I34" s="20">
        <v>0.1386</v>
      </c>
      <c r="J34" s="20">
        <v>0.61739999999999995</v>
      </c>
      <c r="K34" s="20">
        <v>0.44225999999999999</v>
      </c>
      <c r="L34" s="20">
        <v>0.39185999999999999</v>
      </c>
    </row>
    <row r="35" spans="1:12" x14ac:dyDescent="0.35">
      <c r="A35" s="21">
        <v>42</v>
      </c>
      <c r="B35" s="19">
        <v>0.14399999999999999</v>
      </c>
      <c r="C35" s="19">
        <v>0.1908</v>
      </c>
      <c r="D35" s="20">
        <v>0.12537000000000001</v>
      </c>
      <c r="E35" s="44">
        <v>0.10898999999999999</v>
      </c>
      <c r="F35" s="20">
        <v>9.0719999999999995E-2</v>
      </c>
      <c r="G35" s="20">
        <v>0.25578000000000001</v>
      </c>
      <c r="H35" s="20">
        <v>0.18081</v>
      </c>
      <c r="I35" s="20">
        <v>0.14993999999999999</v>
      </c>
      <c r="J35" s="20">
        <v>0.65016000000000007</v>
      </c>
      <c r="K35" s="20">
        <v>0.46998000000000001</v>
      </c>
      <c r="L35" s="20">
        <v>0.41706000000000004</v>
      </c>
    </row>
    <row r="36" spans="1:12" x14ac:dyDescent="0.35">
      <c r="A36" s="21">
        <v>43</v>
      </c>
      <c r="B36" s="19">
        <v>0.15479999999999999</v>
      </c>
      <c r="C36" s="19">
        <v>0.21239999999999998</v>
      </c>
      <c r="D36" s="20">
        <v>0.13355999999999998</v>
      </c>
      <c r="E36" s="44">
        <v>0.11718000000000001</v>
      </c>
      <c r="F36" s="20">
        <v>9.7019999999999995E-2</v>
      </c>
      <c r="G36" s="20">
        <v>0.27405000000000002</v>
      </c>
      <c r="H36" s="20">
        <v>0.19592999999999999</v>
      </c>
      <c r="I36" s="20">
        <v>0.16254000000000002</v>
      </c>
      <c r="J36" s="20">
        <v>0.68292000000000008</v>
      </c>
      <c r="K36" s="20">
        <v>0.49959000000000003</v>
      </c>
      <c r="L36" s="20">
        <v>0.44288999999999995</v>
      </c>
    </row>
    <row r="37" spans="1:12" x14ac:dyDescent="0.35">
      <c r="A37" s="21">
        <v>44</v>
      </c>
      <c r="B37" s="19">
        <v>0.16775999999999999</v>
      </c>
      <c r="C37" s="19">
        <v>0.23616000000000001</v>
      </c>
      <c r="D37" s="20">
        <v>0.14238000000000001</v>
      </c>
      <c r="E37" s="44">
        <v>0.12474</v>
      </c>
      <c r="F37" s="20">
        <v>0.10521000000000001</v>
      </c>
      <c r="G37" s="20">
        <v>0.29421000000000003</v>
      </c>
      <c r="H37" s="20">
        <v>0.21357000000000001</v>
      </c>
      <c r="I37" s="20">
        <v>0.17703000000000002</v>
      </c>
      <c r="J37" s="20">
        <v>0.71757000000000004</v>
      </c>
      <c r="K37" s="20">
        <v>0.53108999999999995</v>
      </c>
      <c r="L37" s="20">
        <v>0.47061000000000003</v>
      </c>
    </row>
    <row r="38" spans="1:12" x14ac:dyDescent="0.35">
      <c r="A38" s="21">
        <v>45</v>
      </c>
      <c r="B38" s="19">
        <v>0.18071999999999999</v>
      </c>
      <c r="C38" s="19">
        <v>0.26135999999999998</v>
      </c>
      <c r="D38" s="20">
        <v>0.15182999999999999</v>
      </c>
      <c r="E38" s="44">
        <v>0.13355999999999998</v>
      </c>
      <c r="F38" s="20">
        <v>0.11151</v>
      </c>
      <c r="G38" s="20">
        <v>0.31563000000000002</v>
      </c>
      <c r="H38" s="20">
        <v>0.23247000000000001</v>
      </c>
      <c r="I38" s="20">
        <v>0.19278000000000001</v>
      </c>
      <c r="J38" s="20">
        <v>0.75222</v>
      </c>
      <c r="K38" s="20">
        <v>0.56447999999999998</v>
      </c>
      <c r="L38" s="20">
        <v>0.50022</v>
      </c>
    </row>
    <row r="39" spans="1:12" x14ac:dyDescent="0.35">
      <c r="A39" s="21">
        <v>46</v>
      </c>
      <c r="B39" s="19">
        <v>0.19512000000000002</v>
      </c>
      <c r="C39" s="19">
        <v>0.29088000000000003</v>
      </c>
      <c r="D39" s="20">
        <v>0.16254000000000002</v>
      </c>
      <c r="E39" s="44">
        <v>0.14364000000000002</v>
      </c>
      <c r="F39" s="20">
        <v>0.11907</v>
      </c>
      <c r="G39" s="20">
        <v>0.3402</v>
      </c>
      <c r="H39" s="20">
        <v>0.25389</v>
      </c>
      <c r="I39" s="20">
        <v>0.21042000000000002</v>
      </c>
      <c r="J39" s="20">
        <v>0.78812999999999989</v>
      </c>
      <c r="K39" s="20">
        <v>0.59787000000000001</v>
      </c>
      <c r="L39" s="20">
        <v>0.52983000000000002</v>
      </c>
    </row>
    <row r="40" spans="1:12" x14ac:dyDescent="0.35">
      <c r="A40" s="21">
        <v>47</v>
      </c>
      <c r="B40" s="19">
        <v>0.21239999999999998</v>
      </c>
      <c r="C40" s="19">
        <v>0.32328000000000001</v>
      </c>
      <c r="D40" s="20">
        <v>0.17388000000000001</v>
      </c>
      <c r="E40" s="44">
        <v>0.15309</v>
      </c>
      <c r="F40" s="20">
        <v>0.12726000000000001</v>
      </c>
      <c r="G40" s="20">
        <v>0.36665999999999999</v>
      </c>
      <c r="H40" s="20">
        <v>0.2772</v>
      </c>
      <c r="I40" s="20">
        <v>0.22994999999999999</v>
      </c>
      <c r="J40" s="20">
        <v>0.82403999999999999</v>
      </c>
      <c r="K40" s="20">
        <v>0.63251999999999997</v>
      </c>
      <c r="L40" s="20">
        <v>0.56069999999999998</v>
      </c>
    </row>
    <row r="41" spans="1:12" x14ac:dyDescent="0.35">
      <c r="A41" s="21">
        <v>48</v>
      </c>
      <c r="B41" s="19">
        <v>0.23111999999999999</v>
      </c>
      <c r="C41" s="19">
        <v>0.35855999999999999</v>
      </c>
      <c r="D41" s="20">
        <v>0.18584999999999999</v>
      </c>
      <c r="E41" s="44">
        <v>0.16317000000000001</v>
      </c>
      <c r="F41" s="20">
        <v>0.13671</v>
      </c>
      <c r="G41" s="20">
        <v>0.39563999999999999</v>
      </c>
      <c r="H41" s="20">
        <v>0.30302999999999997</v>
      </c>
      <c r="I41" s="20">
        <v>0.25137000000000004</v>
      </c>
      <c r="J41" s="20">
        <v>0.85932000000000008</v>
      </c>
      <c r="K41" s="20">
        <v>0.66780000000000006</v>
      </c>
      <c r="L41" s="20">
        <v>0.59156999999999993</v>
      </c>
    </row>
    <row r="42" spans="1:12" x14ac:dyDescent="0.35">
      <c r="A42" s="21">
        <v>49</v>
      </c>
      <c r="B42" s="19">
        <v>0.25272</v>
      </c>
      <c r="C42" s="19">
        <v>0.39888000000000001</v>
      </c>
      <c r="D42" s="20">
        <v>0.19908000000000001</v>
      </c>
      <c r="E42" s="44">
        <v>0.17514000000000002</v>
      </c>
      <c r="F42" s="20">
        <v>0.14553000000000002</v>
      </c>
      <c r="G42" s="20">
        <v>0.42714000000000002</v>
      </c>
      <c r="H42" s="20">
        <v>0.33138000000000001</v>
      </c>
      <c r="I42" s="20">
        <v>0.27531</v>
      </c>
      <c r="J42" s="20">
        <v>0.89397000000000004</v>
      </c>
      <c r="K42" s="20">
        <v>0.70182000000000011</v>
      </c>
      <c r="L42" s="20">
        <v>0.62180999999999997</v>
      </c>
    </row>
    <row r="43" spans="1:12" x14ac:dyDescent="0.35">
      <c r="A43" s="21">
        <v>50</v>
      </c>
      <c r="B43" s="19">
        <v>0.27648</v>
      </c>
      <c r="C43" s="19">
        <v>0.44351999999999997</v>
      </c>
      <c r="D43" s="20">
        <v>0.21357000000000001</v>
      </c>
      <c r="E43" s="44">
        <v>0.18647999999999998</v>
      </c>
      <c r="F43" s="20">
        <v>0.17199</v>
      </c>
      <c r="G43" s="20">
        <v>0.46242</v>
      </c>
      <c r="H43" s="20">
        <v>0.36287999999999998</v>
      </c>
      <c r="I43" s="20">
        <v>0.30113999999999996</v>
      </c>
      <c r="J43" s="20">
        <v>0.92673000000000005</v>
      </c>
      <c r="K43" s="20">
        <v>0.73458000000000001</v>
      </c>
      <c r="L43" s="20">
        <v>0.65142</v>
      </c>
    </row>
    <row r="44" spans="1:12" x14ac:dyDescent="0.35">
      <c r="A44" s="21">
        <v>51</v>
      </c>
      <c r="B44" s="19">
        <v>0.30312</v>
      </c>
      <c r="C44" s="19">
        <v>0.49176000000000003</v>
      </c>
      <c r="D44" s="20">
        <v>0.22869</v>
      </c>
      <c r="E44" s="44">
        <v>0.19971</v>
      </c>
      <c r="F44" s="20">
        <v>0.17577000000000001</v>
      </c>
      <c r="G44" s="20">
        <v>0.50022</v>
      </c>
      <c r="H44" s="20">
        <v>0.39690000000000003</v>
      </c>
      <c r="I44" s="20">
        <v>0.32949000000000001</v>
      </c>
      <c r="J44" s="20">
        <v>0.95760000000000001</v>
      </c>
      <c r="K44" s="20">
        <v>0.76545000000000007</v>
      </c>
      <c r="L44" s="20">
        <v>0.67850999999999995</v>
      </c>
    </row>
    <row r="45" spans="1:12" x14ac:dyDescent="0.35">
      <c r="A45" s="21">
        <v>52</v>
      </c>
      <c r="B45" s="19">
        <v>0.33407999999999999</v>
      </c>
      <c r="C45" s="19">
        <v>0.54647999999999997</v>
      </c>
      <c r="D45" s="20">
        <v>0.2457</v>
      </c>
      <c r="E45" s="44">
        <v>0.21357000000000001</v>
      </c>
      <c r="F45" s="20">
        <v>0.17954999999999999</v>
      </c>
      <c r="G45" s="20">
        <v>0.54179999999999995</v>
      </c>
      <c r="H45" s="20">
        <v>0.43343999999999999</v>
      </c>
      <c r="I45" s="20">
        <v>0.35972999999999999</v>
      </c>
      <c r="J45" s="20">
        <v>0.98532000000000008</v>
      </c>
      <c r="K45" s="20">
        <v>0.79316999999999993</v>
      </c>
      <c r="L45" s="20">
        <v>0.70308000000000004</v>
      </c>
    </row>
    <row r="46" spans="1:12" x14ac:dyDescent="0.35">
      <c r="A46" s="21">
        <v>53</v>
      </c>
      <c r="B46" s="19">
        <v>0.36863999999999997</v>
      </c>
      <c r="C46" s="19">
        <v>0.61199999999999999</v>
      </c>
      <c r="D46" s="20">
        <v>0.26334000000000002</v>
      </c>
      <c r="E46" s="44">
        <v>0.22805999999999998</v>
      </c>
      <c r="F46" s="20">
        <v>0.19025999999999998</v>
      </c>
      <c r="G46" s="20">
        <v>0.58716000000000002</v>
      </c>
      <c r="H46" s="20">
        <v>0.47313</v>
      </c>
      <c r="I46" s="20">
        <v>0.39249000000000001</v>
      </c>
      <c r="J46" s="20">
        <v>1.0086299999999999</v>
      </c>
      <c r="K46" s="20">
        <v>0.81647999999999998</v>
      </c>
      <c r="L46" s="20">
        <v>0.72323999999999999</v>
      </c>
    </row>
    <row r="47" spans="1:12" x14ac:dyDescent="0.35">
      <c r="A47" s="21">
        <v>54</v>
      </c>
      <c r="B47" s="19">
        <v>0.40823999999999994</v>
      </c>
      <c r="C47" s="19">
        <v>0.69119999999999993</v>
      </c>
      <c r="D47" s="20">
        <v>0.28287000000000001</v>
      </c>
      <c r="E47" s="44">
        <v>0.24381</v>
      </c>
      <c r="F47" s="20">
        <v>0.20349</v>
      </c>
      <c r="G47" s="20">
        <v>0.63693</v>
      </c>
      <c r="H47" s="20">
        <v>0.51659999999999995</v>
      </c>
      <c r="I47" s="20">
        <v>0.42840000000000006</v>
      </c>
      <c r="J47" s="20">
        <v>1.02627</v>
      </c>
      <c r="K47" s="20">
        <v>0.83348999999999995</v>
      </c>
      <c r="L47" s="20">
        <v>0.73899000000000004</v>
      </c>
    </row>
    <row r="48" spans="1:12" x14ac:dyDescent="0.35">
      <c r="A48" s="21">
        <v>55</v>
      </c>
      <c r="B48" s="19">
        <v>0.45216000000000001</v>
      </c>
      <c r="C48" s="19">
        <v>0.78695999999999999</v>
      </c>
      <c r="D48" s="20">
        <v>0.30429</v>
      </c>
      <c r="E48" s="44">
        <v>0.26018999999999998</v>
      </c>
      <c r="F48" s="20">
        <v>0.21797999999999998</v>
      </c>
      <c r="G48" s="20">
        <v>0.69048000000000009</v>
      </c>
      <c r="H48" s="20">
        <v>0.56259000000000003</v>
      </c>
      <c r="I48" s="20">
        <v>0.46683000000000002</v>
      </c>
      <c r="J48" s="20">
        <v>1.0363500000000001</v>
      </c>
      <c r="K48" s="20">
        <v>0.84420000000000006</v>
      </c>
      <c r="L48" s="20">
        <v>0.74843999999999999</v>
      </c>
    </row>
    <row r="49" spans="1:12" x14ac:dyDescent="0.35">
      <c r="A49" s="21">
        <v>56</v>
      </c>
      <c r="B49" s="19">
        <v>0.5025599999999999</v>
      </c>
      <c r="C49" s="19">
        <v>0.90215999999999985</v>
      </c>
      <c r="D49" s="20">
        <v>0.32697000000000004</v>
      </c>
      <c r="E49" s="44">
        <v>0.2772</v>
      </c>
      <c r="F49" s="20">
        <v>0.23058000000000001</v>
      </c>
      <c r="G49" s="20">
        <v>0.74969999999999992</v>
      </c>
      <c r="H49" s="20">
        <v>0.61236000000000002</v>
      </c>
      <c r="I49" s="20">
        <v>0.50841000000000003</v>
      </c>
      <c r="J49" s="20">
        <v>1.0382400000000001</v>
      </c>
      <c r="K49" s="20">
        <v>0.84609000000000001</v>
      </c>
      <c r="L49" s="20">
        <v>0.74969999999999992</v>
      </c>
    </row>
    <row r="50" spans="1:12" x14ac:dyDescent="0.35">
      <c r="A50" s="21">
        <v>57</v>
      </c>
      <c r="B50" s="19">
        <v>0.56088000000000005</v>
      </c>
      <c r="C50" s="19">
        <v>1.03464</v>
      </c>
      <c r="D50" s="20">
        <v>0.35154000000000002</v>
      </c>
      <c r="E50" s="44">
        <v>0.29609999999999997</v>
      </c>
      <c r="F50" s="20">
        <v>0.24633000000000002</v>
      </c>
      <c r="G50" s="20">
        <v>0.81396000000000002</v>
      </c>
      <c r="H50" s="20">
        <v>0.66654000000000002</v>
      </c>
      <c r="I50" s="20">
        <v>0.55251000000000006</v>
      </c>
      <c r="J50" s="20">
        <v>1.02942</v>
      </c>
      <c r="K50" s="20">
        <v>0.83726999999999996</v>
      </c>
      <c r="L50" s="20">
        <v>0.74213999999999991</v>
      </c>
    </row>
    <row r="51" spans="1:12" x14ac:dyDescent="0.35">
      <c r="A51" s="21">
        <v>58</v>
      </c>
      <c r="B51" s="19">
        <v>0.62712000000000001</v>
      </c>
      <c r="C51" s="19">
        <v>1.17936</v>
      </c>
      <c r="D51" s="20">
        <v>0.378</v>
      </c>
      <c r="E51" s="44">
        <v>0.31563000000000002</v>
      </c>
      <c r="F51" s="20">
        <v>0.26334000000000002</v>
      </c>
      <c r="G51" s="20">
        <v>0.88703999999999994</v>
      </c>
      <c r="H51" s="20">
        <v>0.72575999999999996</v>
      </c>
      <c r="I51" s="20">
        <v>0.60227999999999993</v>
      </c>
      <c r="J51" s="20">
        <v>1.00989</v>
      </c>
      <c r="K51" s="20">
        <v>0.81836999999999993</v>
      </c>
      <c r="L51" s="20">
        <v>0.72513000000000005</v>
      </c>
    </row>
    <row r="52" spans="1:12" x14ac:dyDescent="0.35">
      <c r="A52" s="21">
        <v>59</v>
      </c>
      <c r="B52" s="19">
        <v>0.70343999999999995</v>
      </c>
      <c r="C52" s="19">
        <v>1.3607999999999998</v>
      </c>
      <c r="D52" s="20">
        <v>0.40698000000000001</v>
      </c>
      <c r="E52" s="44">
        <v>0.33642</v>
      </c>
      <c r="F52" s="20">
        <v>0.28098000000000001</v>
      </c>
      <c r="G52" s="20">
        <v>0.96642000000000006</v>
      </c>
      <c r="H52" s="20">
        <v>0.78938999999999993</v>
      </c>
      <c r="I52" s="20">
        <v>0.6552</v>
      </c>
      <c r="J52" s="20">
        <v>0.97460999999999998</v>
      </c>
      <c r="K52" s="20">
        <v>0.78498000000000001</v>
      </c>
      <c r="L52" s="20">
        <v>0.69615000000000005</v>
      </c>
    </row>
    <row r="53" spans="1:12" x14ac:dyDescent="0.35">
      <c r="A53" s="21">
        <v>60</v>
      </c>
      <c r="B53" s="19">
        <v>0.78983999999999999</v>
      </c>
      <c r="C53" s="19">
        <v>1.43136</v>
      </c>
      <c r="D53" s="20">
        <v>0.43847999999999998</v>
      </c>
      <c r="E53" s="44">
        <v>0.35846999999999996</v>
      </c>
      <c r="F53" s="20">
        <v>0.29924999999999996</v>
      </c>
      <c r="G53" s="20">
        <v>1.00926</v>
      </c>
      <c r="H53" s="20">
        <v>0.80640000000000001</v>
      </c>
      <c r="I53" s="20">
        <v>0.66905999999999999</v>
      </c>
      <c r="J53" s="20">
        <v>0.91979999999999995</v>
      </c>
      <c r="K53" s="20">
        <v>0.73521000000000003</v>
      </c>
      <c r="L53" s="20">
        <v>0.65142</v>
      </c>
    </row>
    <row r="54" spans="1:12" x14ac:dyDescent="0.35">
      <c r="A54" s="21">
        <v>61</v>
      </c>
      <c r="B54" s="19">
        <v>0.89063999999999999</v>
      </c>
      <c r="C54" s="19">
        <v>1.7323200000000001</v>
      </c>
      <c r="D54" s="20">
        <v>0.47250000000000003</v>
      </c>
      <c r="E54" s="44">
        <v>0.38240999999999997</v>
      </c>
      <c r="F54" s="20">
        <v>0.31878000000000001</v>
      </c>
      <c r="G54" s="20">
        <v>0.92357999999999996</v>
      </c>
      <c r="H54" s="20">
        <v>0.72953999999999997</v>
      </c>
      <c r="I54" s="20">
        <v>0.60543000000000002</v>
      </c>
      <c r="J54" s="20">
        <v>0.84231</v>
      </c>
      <c r="K54" s="20">
        <v>0.66464999999999996</v>
      </c>
      <c r="L54" s="20">
        <v>0.58968000000000009</v>
      </c>
    </row>
    <row r="55" spans="1:12" x14ac:dyDescent="0.35">
      <c r="A55" s="21">
        <v>62</v>
      </c>
      <c r="B55" s="19">
        <v>1.0058400000000001</v>
      </c>
      <c r="C55" s="19">
        <v>2.05416</v>
      </c>
      <c r="D55" s="20">
        <v>0.50967000000000007</v>
      </c>
      <c r="E55" s="44">
        <v>0.40698000000000001</v>
      </c>
      <c r="F55" s="20">
        <v>0.33957000000000004</v>
      </c>
      <c r="G55" s="20">
        <v>0.80702999999999991</v>
      </c>
      <c r="H55" s="20">
        <v>0.62622</v>
      </c>
      <c r="I55" s="20">
        <v>0.51974999999999993</v>
      </c>
      <c r="J55" s="20">
        <v>0.73583999999999994</v>
      </c>
      <c r="K55" s="20">
        <v>0.57078000000000007</v>
      </c>
      <c r="L55" s="20">
        <v>0.50589000000000006</v>
      </c>
    </row>
    <row r="56" spans="1:12" x14ac:dyDescent="0.35">
      <c r="A56" s="21">
        <v>63</v>
      </c>
      <c r="B56" s="19">
        <v>1.0979999999999999</v>
      </c>
      <c r="C56" s="19">
        <v>2.35656</v>
      </c>
      <c r="D56" s="20">
        <v>0.54935999999999996</v>
      </c>
      <c r="E56" s="44">
        <v>0.43343999999999999</v>
      </c>
      <c r="F56" s="20">
        <v>0.37106999999999996</v>
      </c>
      <c r="G56" s="20">
        <v>0.64574999999999994</v>
      </c>
      <c r="H56" s="20">
        <v>0.48762</v>
      </c>
      <c r="I56" s="20">
        <v>0.40445999999999999</v>
      </c>
      <c r="J56" s="20">
        <v>0.58842000000000005</v>
      </c>
      <c r="K56" s="20">
        <v>0.44477999999999995</v>
      </c>
      <c r="L56" s="20">
        <v>0.39374999999999999</v>
      </c>
    </row>
    <row r="57" spans="1:12" x14ac:dyDescent="0.35">
      <c r="A57" s="21">
        <v>64</v>
      </c>
      <c r="B57" s="19">
        <v>1.14192</v>
      </c>
      <c r="C57" s="19">
        <v>2.7028799999999999</v>
      </c>
      <c r="D57" s="20">
        <v>0.59282999999999997</v>
      </c>
      <c r="E57" s="44">
        <v>0.46178999999999998</v>
      </c>
      <c r="F57" s="20">
        <v>0.38429999999999997</v>
      </c>
      <c r="G57" s="20">
        <v>0.41012999999999999</v>
      </c>
      <c r="H57" s="20">
        <v>0.29106000000000004</v>
      </c>
      <c r="I57" s="20">
        <v>0.24129</v>
      </c>
      <c r="J57" s="20">
        <v>0.37358999999999998</v>
      </c>
      <c r="K57" s="20">
        <v>0.26522999999999997</v>
      </c>
      <c r="L57" s="20">
        <v>0.23499</v>
      </c>
    </row>
    <row r="58" spans="1:12" x14ac:dyDescent="0.35">
      <c r="A58" s="21">
        <v>65</v>
      </c>
      <c r="B58" s="19">
        <v>1.1865599999999998</v>
      </c>
      <c r="C58" s="19">
        <v>0</v>
      </c>
      <c r="D58" s="20">
        <v>0.64007999999999998</v>
      </c>
      <c r="E58" s="44">
        <v>0.4914</v>
      </c>
      <c r="F58" s="20">
        <v>0.41958000000000001</v>
      </c>
      <c r="G58" s="20">
        <v>0</v>
      </c>
      <c r="H58" s="20">
        <v>0</v>
      </c>
      <c r="I58" s="20">
        <v>0</v>
      </c>
      <c r="J58" s="20">
        <v>0</v>
      </c>
      <c r="K58" s="20">
        <v>0</v>
      </c>
      <c r="L58" s="20">
        <v>0</v>
      </c>
    </row>
    <row r="59" spans="1:12" x14ac:dyDescent="0.35">
      <c r="A59" s="21">
        <v>66</v>
      </c>
      <c r="B59" s="19">
        <v>1.23048</v>
      </c>
      <c r="C59" s="19">
        <v>0</v>
      </c>
      <c r="D59" s="20">
        <v>0.69111</v>
      </c>
      <c r="E59" s="44">
        <v>0.52290000000000003</v>
      </c>
      <c r="F59" s="20">
        <v>0.43532999999999999</v>
      </c>
      <c r="G59" s="20">
        <v>0</v>
      </c>
      <c r="H59" s="20">
        <v>0</v>
      </c>
      <c r="I59" s="20">
        <v>0</v>
      </c>
      <c r="J59" s="20">
        <v>0</v>
      </c>
      <c r="K59" s="20">
        <v>0</v>
      </c>
      <c r="L59" s="20">
        <v>0</v>
      </c>
    </row>
    <row r="60" spans="1:12" x14ac:dyDescent="0.35">
      <c r="A60" s="21">
        <v>67</v>
      </c>
      <c r="B60" s="19">
        <v>1.2751199999999998</v>
      </c>
      <c r="C60" s="19">
        <v>0</v>
      </c>
      <c r="D60" s="20">
        <v>0.74655000000000005</v>
      </c>
      <c r="E60" s="44">
        <v>0.55629000000000006</v>
      </c>
      <c r="F60" s="20">
        <v>0.46431</v>
      </c>
      <c r="G60" s="20">
        <v>0</v>
      </c>
      <c r="H60" s="20">
        <v>0</v>
      </c>
      <c r="I60" s="20">
        <v>0</v>
      </c>
      <c r="J60" s="20">
        <v>0</v>
      </c>
      <c r="K60" s="20">
        <v>0</v>
      </c>
      <c r="L60" s="20">
        <v>0</v>
      </c>
    </row>
    <row r="61" spans="1:12" x14ac:dyDescent="0.35">
      <c r="A61" s="21">
        <v>68</v>
      </c>
      <c r="B61" s="19">
        <v>1.3197599999999998</v>
      </c>
      <c r="C61" s="19">
        <v>0</v>
      </c>
      <c r="D61" s="20">
        <v>0.75411000000000006</v>
      </c>
      <c r="E61" s="44">
        <v>0.56196000000000002</v>
      </c>
      <c r="F61" s="20">
        <v>0.46809000000000001</v>
      </c>
      <c r="G61" s="20">
        <v>0</v>
      </c>
      <c r="H61" s="20">
        <v>0</v>
      </c>
      <c r="I61" s="20">
        <v>0</v>
      </c>
      <c r="J61" s="20">
        <v>0</v>
      </c>
      <c r="K61" s="20">
        <v>0</v>
      </c>
      <c r="L61" s="20">
        <v>0</v>
      </c>
    </row>
    <row r="62" spans="1:12" x14ac:dyDescent="0.35">
      <c r="A62" s="21">
        <v>69</v>
      </c>
      <c r="B62" s="19">
        <v>1.3636799999999998</v>
      </c>
      <c r="C62" s="19">
        <v>0</v>
      </c>
      <c r="D62" s="20">
        <v>0.49014000000000002</v>
      </c>
      <c r="E62" s="44">
        <v>0.3654</v>
      </c>
      <c r="F62" s="20">
        <v>0.38556000000000001</v>
      </c>
      <c r="G62" s="20">
        <v>0</v>
      </c>
      <c r="H62" s="20">
        <v>0</v>
      </c>
      <c r="I62" s="20">
        <v>0</v>
      </c>
      <c r="J62" s="20">
        <v>0</v>
      </c>
      <c r="K62" s="20">
        <v>0</v>
      </c>
      <c r="L62" s="20">
        <v>0</v>
      </c>
    </row>
    <row r="63" spans="1:12" x14ac:dyDescent="0.35">
      <c r="A63" s="21">
        <v>70</v>
      </c>
      <c r="B63" s="19">
        <v>0</v>
      </c>
      <c r="C63" s="19">
        <v>0</v>
      </c>
      <c r="D63" s="20">
        <v>0</v>
      </c>
      <c r="E63" s="44">
        <v>0</v>
      </c>
      <c r="F63" s="20">
        <v>0</v>
      </c>
      <c r="G63" s="20">
        <v>0</v>
      </c>
      <c r="H63" s="20">
        <v>0</v>
      </c>
      <c r="I63" s="20">
        <v>0</v>
      </c>
      <c r="J63" s="20">
        <v>0</v>
      </c>
      <c r="K63" s="20">
        <v>0</v>
      </c>
      <c r="L63" s="20">
        <v>0</v>
      </c>
    </row>
    <row r="64" spans="1:12" x14ac:dyDescent="0.35">
      <c r="A64" s="21">
        <v>71</v>
      </c>
      <c r="B64" s="19">
        <v>0</v>
      </c>
      <c r="C64" s="19">
        <v>0</v>
      </c>
      <c r="D64" s="20">
        <v>0</v>
      </c>
      <c r="E64" s="44">
        <v>0</v>
      </c>
      <c r="F64" s="20">
        <v>0</v>
      </c>
      <c r="G64" s="20">
        <v>0</v>
      </c>
      <c r="H64" s="20">
        <v>0</v>
      </c>
      <c r="I64" s="20">
        <v>0</v>
      </c>
      <c r="J64" s="20">
        <v>0</v>
      </c>
      <c r="K64" s="20">
        <v>0</v>
      </c>
      <c r="L64" s="20">
        <v>0</v>
      </c>
    </row>
    <row r="65" spans="1:12" x14ac:dyDescent="0.35">
      <c r="A65" s="21">
        <v>72</v>
      </c>
      <c r="B65" s="19">
        <v>0</v>
      </c>
      <c r="C65" s="19">
        <v>0</v>
      </c>
      <c r="D65" s="20">
        <v>0</v>
      </c>
      <c r="E65" s="44">
        <v>0</v>
      </c>
      <c r="F65" s="20">
        <v>0</v>
      </c>
      <c r="G65" s="20">
        <v>0</v>
      </c>
      <c r="H65" s="20">
        <v>0</v>
      </c>
      <c r="I65" s="20">
        <v>0</v>
      </c>
      <c r="J65" s="20">
        <v>0</v>
      </c>
      <c r="K65" s="20">
        <v>0</v>
      </c>
      <c r="L65" s="20">
        <v>0</v>
      </c>
    </row>
    <row r="66" spans="1:12" x14ac:dyDescent="0.35">
      <c r="A66" s="21">
        <v>73</v>
      </c>
      <c r="B66" s="19">
        <v>0</v>
      </c>
      <c r="C66" s="19">
        <v>0</v>
      </c>
      <c r="D66" s="20">
        <v>0</v>
      </c>
      <c r="E66" s="44">
        <v>0</v>
      </c>
      <c r="F66" s="20">
        <v>0</v>
      </c>
      <c r="G66" s="20">
        <v>0</v>
      </c>
      <c r="H66" s="20">
        <v>0</v>
      </c>
      <c r="I66" s="20">
        <v>0</v>
      </c>
      <c r="J66" s="20">
        <v>0</v>
      </c>
      <c r="K66" s="20">
        <v>0</v>
      </c>
      <c r="L66" s="20">
        <v>0</v>
      </c>
    </row>
    <row r="67" spans="1:12" x14ac:dyDescent="0.35">
      <c r="A67" s="21">
        <v>74</v>
      </c>
      <c r="B67" s="19">
        <v>0</v>
      </c>
      <c r="C67" s="19">
        <v>0</v>
      </c>
      <c r="D67" s="20">
        <v>0</v>
      </c>
      <c r="E67" s="44">
        <v>0</v>
      </c>
      <c r="F67" s="20">
        <v>0</v>
      </c>
      <c r="G67" s="20">
        <v>0</v>
      </c>
      <c r="H67" s="20">
        <v>0</v>
      </c>
      <c r="I67" s="20">
        <v>0</v>
      </c>
      <c r="J67" s="20">
        <v>0</v>
      </c>
      <c r="K67" s="20">
        <v>0</v>
      </c>
      <c r="L67" s="20">
        <v>0</v>
      </c>
    </row>
    <row r="68" spans="1:12" x14ac:dyDescent="0.35">
      <c r="A68" s="21">
        <v>75</v>
      </c>
      <c r="B68" s="19">
        <v>0</v>
      </c>
      <c r="C68" s="19">
        <v>0</v>
      </c>
      <c r="D68" s="20">
        <v>0</v>
      </c>
      <c r="E68" s="44">
        <v>0</v>
      </c>
      <c r="F68" s="20">
        <v>0</v>
      </c>
      <c r="G68" s="20">
        <v>0</v>
      </c>
      <c r="H68" s="20">
        <v>0</v>
      </c>
      <c r="I68" s="20">
        <v>0</v>
      </c>
      <c r="J68" s="20">
        <v>0</v>
      </c>
      <c r="K68" s="20">
        <v>0</v>
      </c>
      <c r="L68" s="20">
        <v>0</v>
      </c>
    </row>
  </sheetData>
  <sheetProtection selectLockedCells="1" selectUnlockedCells="1"/>
  <mergeCells count="5">
    <mergeCell ref="A4:A6"/>
    <mergeCell ref="B4:C4"/>
    <mergeCell ref="D4:F4"/>
    <mergeCell ref="G4:I4"/>
    <mergeCell ref="J4:L4"/>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5448DBF4CB27D4C8115DE6D6916CA97" ma:contentTypeVersion="18" ma:contentTypeDescription="Create a new document." ma:contentTypeScope="" ma:versionID="3808cb1012a8de4c50aff32220314329">
  <xsd:schema xmlns:xsd="http://www.w3.org/2001/XMLSchema" xmlns:xs="http://www.w3.org/2001/XMLSchema" xmlns:p="http://schemas.microsoft.com/office/2006/metadata/properties" xmlns:ns1="http://schemas.microsoft.com/sharepoint/v3" xmlns:ns2="98f83fe3-75af-47a5-a9be-8067edad2e2b" xmlns:ns3="fe4a4c8b-39ad-4780-98cf-ea868217df62" xmlns:ns4="2e38548d-c34f-4b92-b5e4-1a6d88eeb1ff" targetNamespace="http://schemas.microsoft.com/office/2006/metadata/properties" ma:root="true" ma:fieldsID="7870c6819ef702766a9d072816f35da5" ns1:_="" ns2:_="" ns3:_="" ns4:_="">
    <xsd:import namespace="http://schemas.microsoft.com/sharepoint/v3"/>
    <xsd:import namespace="98f83fe3-75af-47a5-a9be-8067edad2e2b"/>
    <xsd:import namespace="fe4a4c8b-39ad-4780-98cf-ea868217df62"/>
    <xsd:import namespace="2e38548d-c34f-4b92-b5e4-1a6d88eeb1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f83fe3-75af-47a5-a9be-8067edad2e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4a4c8b-39ad-4780-98cf-ea868217df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d739ea-1962-432e-8e5f-e9e593ab3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38548d-c34f-4b92-b5e4-1a6d88eeb1f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8a9ec1-24cd-4de1-86dd-35d500f205a0}" ma:internalName="TaxCatchAll" ma:showField="CatchAllData" ma:web="98f83fe3-75af-47a5-a9be-8067edad2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38548d-c34f-4b92-b5e4-1a6d88eeb1ff" xsi:nil="true"/>
    <_ip_UnifiedCompliancePolicyUIAction xmlns="http://schemas.microsoft.com/sharepoint/v3" xsi:nil="true"/>
    <_ip_UnifiedCompliancePolicyProperties xmlns="http://schemas.microsoft.com/sharepoint/v3" xsi:nil="true"/>
    <_dlc_DocId xmlns="98f83fe3-75af-47a5-a9be-8067edad2e2b">MEX024-508857262-26783</_dlc_DocId>
    <_dlc_DocIdUrl xmlns="98f83fe3-75af-47a5-a9be-8067edad2e2b">
      <Url>https://australiansuper.sharepoint.com/teams/MEX-SDComms/_layouts/15/DocIdRedir.aspx?ID=MEX024-508857262-26783</Url>
      <Description>MEX024-508857262-26783</Description>
    </_dlc_DocIdUrl>
    <lcf76f155ced4ddcb4097134ff3c332f xmlns="fe4a4c8b-39ad-4780-98cf-ea868217df62">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DA196-6D6F-4176-A9C8-6472B866E019}">
  <ds:schemaRefs>
    <ds:schemaRef ds:uri="http://schemas.microsoft.com/sharepoint/events"/>
  </ds:schemaRefs>
</ds:datastoreItem>
</file>

<file path=customXml/itemProps2.xml><?xml version="1.0" encoding="utf-8"?>
<ds:datastoreItem xmlns:ds="http://schemas.openxmlformats.org/officeDocument/2006/customXml" ds:itemID="{9B490450-3E32-4E95-9681-452DCC7BF94C}"/>
</file>

<file path=customXml/itemProps3.xml><?xml version="1.0" encoding="utf-8"?>
<ds:datastoreItem xmlns:ds="http://schemas.openxmlformats.org/officeDocument/2006/customXml" ds:itemID="{C9813979-E655-4A82-B9FE-C28451C15660}">
  <ds:schemaRefs>
    <ds:schemaRef ds:uri="05c3b009-07a7-41e1-9067-dad62aaf44d0"/>
    <ds:schemaRef ds:uri="http://schemas.microsoft.com/sharepoint/v3"/>
    <ds:schemaRef ds:uri="http://schemas.microsoft.com/office/infopath/2007/PartnerControls"/>
    <ds:schemaRef ds:uri="http://purl.org/dc/elements/1.1/"/>
    <ds:schemaRef ds:uri="http://purl.org/dc/terms/"/>
    <ds:schemaRef ds:uri="http://www.w3.org/XML/1998/namespace"/>
    <ds:schemaRef ds:uri="http://schemas.microsoft.com/office/2006/documentManagement/types"/>
    <ds:schemaRef ds:uri="2e38548d-c34f-4b92-b5e4-1a6d88eeb1ff"/>
    <ds:schemaRef ds:uri="http://purl.org/dc/dcmitype/"/>
    <ds:schemaRef ds:uri="http://schemas.openxmlformats.org/package/2006/metadata/core-properties"/>
    <ds:schemaRef ds:uri="ba504d24-e068-4a3f-9fe2-7a9f74e1b3dc"/>
    <ds:schemaRef ds:uri="http://schemas.microsoft.com/office/2006/metadata/properties"/>
  </ds:schemaRefs>
</ds:datastoreItem>
</file>

<file path=customXml/itemProps4.xml><?xml version="1.0" encoding="utf-8"?>
<ds:datastoreItem xmlns:ds="http://schemas.openxmlformats.org/officeDocument/2006/customXml" ds:itemID="{DED520AD-8933-43E9-B812-7C6DA124DD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Benjamin</dc:creator>
  <cp:keywords/>
  <dc:description/>
  <cp:lastModifiedBy>Shah, Sheetal</cp:lastModifiedBy>
  <cp:revision/>
  <dcterms:created xsi:type="dcterms:W3CDTF">2015-06-05T18:17:20Z</dcterms:created>
  <dcterms:modified xsi:type="dcterms:W3CDTF">2023-05-25T23:26:42Z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716faf-1e7d-4a5b-95e3-d997bb133f5e_Enabled">
    <vt:lpwstr>true</vt:lpwstr>
  </property>
  <property fmtid="{D5CDD505-2E9C-101B-9397-08002B2CF9AE}" pid="3" name="MSIP_Label_5e716faf-1e7d-4a5b-95e3-d997bb133f5e_SetDate">
    <vt:lpwstr>2021-07-27T06:32:13Z</vt:lpwstr>
  </property>
  <property fmtid="{D5CDD505-2E9C-101B-9397-08002B2CF9AE}" pid="4" name="MSIP_Label_5e716faf-1e7d-4a5b-95e3-d997bb133f5e_Method">
    <vt:lpwstr>Standard</vt:lpwstr>
  </property>
  <property fmtid="{D5CDD505-2E9C-101B-9397-08002B2CF9AE}" pid="5" name="MSIP_Label_5e716faf-1e7d-4a5b-95e3-d997bb133f5e_Name">
    <vt:lpwstr>Internal</vt:lpwstr>
  </property>
  <property fmtid="{D5CDD505-2E9C-101B-9397-08002B2CF9AE}" pid="6" name="MSIP_Label_5e716faf-1e7d-4a5b-95e3-d997bb133f5e_SiteId">
    <vt:lpwstr>2e2e956a-b164-4b2b-904b-0be8fefb4b4b</vt:lpwstr>
  </property>
  <property fmtid="{D5CDD505-2E9C-101B-9397-08002B2CF9AE}" pid="7" name="MSIP_Label_5e716faf-1e7d-4a5b-95e3-d997bb133f5e_ActionId">
    <vt:lpwstr>399107f5-5268-43b2-8840-9887584568ac</vt:lpwstr>
  </property>
  <property fmtid="{D5CDD505-2E9C-101B-9397-08002B2CF9AE}" pid="8" name="MSIP_Label_5e716faf-1e7d-4a5b-95e3-d997bb133f5e_ContentBits">
    <vt:lpwstr>0</vt:lpwstr>
  </property>
  <property fmtid="{D5CDD505-2E9C-101B-9397-08002B2CF9AE}" pid="9" name="LINKTEK-CHUNK-1">
    <vt:lpwstr>010021{"F":2,"I":"113B-5A76-122E-6BFE"}</vt:lpwstr>
  </property>
  <property fmtid="{D5CDD505-2E9C-101B-9397-08002B2CF9AE}" pid="10" name="ContentTypeId">
    <vt:lpwstr>0x010100B5448DBF4CB27D4C8115DE6D6916CA97</vt:lpwstr>
  </property>
  <property fmtid="{D5CDD505-2E9C-101B-9397-08002B2CF9AE}" pid="11" name="Order">
    <vt:r8>100</vt:r8>
  </property>
  <property fmtid="{D5CDD505-2E9C-101B-9397-08002B2CF9AE}" pid="12" name="_dlc_DocIdItemGuid">
    <vt:lpwstr>6ee8e467-a5e0-4afc-827f-29e4d3ac401f</vt:lpwstr>
  </property>
  <property fmtid="{D5CDD505-2E9C-101B-9397-08002B2CF9AE}" pid="13" name="MediaServiceImageTags">
    <vt:lpwstr/>
  </property>
</Properties>
</file>